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Spettri di risposta" sheetId="1" r:id="rId1"/>
  </sheets>
  <calcPr calcId="162913"/>
</workbook>
</file>

<file path=xl/calcChain.xml><?xml version="1.0" encoding="utf-8"?>
<calcChain xmlns="http://schemas.openxmlformats.org/spreadsheetml/2006/main">
  <c r="B20" i="1"/>
  <c r="B19"/>
  <c r="B18"/>
  <c r="B17"/>
  <c r="E13"/>
  <c r="Z5"/>
  <c r="I23"/>
  <c r="I24" s="1"/>
  <c r="I25" s="1"/>
  <c r="I26" s="1"/>
  <c r="AC7"/>
  <c r="AD6"/>
  <c r="AE5"/>
  <c r="AD5"/>
  <c r="AG4"/>
  <c r="AF4"/>
  <c r="AE4"/>
  <c r="AD4"/>
  <c r="F20"/>
  <c r="X37" s="1"/>
  <c r="F19"/>
  <c r="V37" s="1"/>
  <c r="Z37" s="1"/>
  <c r="F18"/>
  <c r="T37" s="1"/>
  <c r="F17"/>
  <c r="R37" s="1"/>
  <c r="X52"/>
  <c r="V52"/>
  <c r="Z52" s="1"/>
  <c r="T52"/>
  <c r="R52"/>
  <c r="L24" l="1"/>
  <c r="C17"/>
  <c r="G17" s="1"/>
  <c r="E19"/>
  <c r="D19" s="1"/>
  <c r="V6" s="1"/>
  <c r="Z6" s="1"/>
  <c r="L26"/>
  <c r="L25"/>
  <c r="L23"/>
  <c r="E18"/>
  <c r="T7" s="1"/>
  <c r="C19"/>
  <c r="W5" s="1"/>
  <c r="AA5" s="1"/>
  <c r="E17"/>
  <c r="R7" s="1"/>
  <c r="C20"/>
  <c r="G20" s="1"/>
  <c r="O6" s="1"/>
  <c r="E20"/>
  <c r="C18"/>
  <c r="U5" s="1"/>
  <c r="V51"/>
  <c r="Z51" s="1"/>
  <c r="T51"/>
  <c r="X48"/>
  <c r="R51"/>
  <c r="X38"/>
  <c r="X42"/>
  <c r="X44"/>
  <c r="X47"/>
  <c r="X49"/>
  <c r="T46"/>
  <c r="X41"/>
  <c r="X50"/>
  <c r="V38"/>
  <c r="Z38" s="1"/>
  <c r="V39"/>
  <c r="Z39" s="1"/>
  <c r="V40"/>
  <c r="Z40" s="1"/>
  <c r="V41"/>
  <c r="Z41" s="1"/>
  <c r="V42"/>
  <c r="Z42" s="1"/>
  <c r="V43"/>
  <c r="Z43" s="1"/>
  <c r="V44"/>
  <c r="Z44" s="1"/>
  <c r="V45"/>
  <c r="Z45" s="1"/>
  <c r="V46"/>
  <c r="Z46" s="1"/>
  <c r="V47"/>
  <c r="Z47" s="1"/>
  <c r="V48"/>
  <c r="Z48" s="1"/>
  <c r="V49"/>
  <c r="Z49" s="1"/>
  <c r="V50"/>
  <c r="Z50" s="1"/>
  <c r="X39"/>
  <c r="X45"/>
  <c r="X51"/>
  <c r="T38"/>
  <c r="T40"/>
  <c r="T42"/>
  <c r="T43"/>
  <c r="T45"/>
  <c r="T47"/>
  <c r="T48"/>
  <c r="T49"/>
  <c r="T50"/>
  <c r="X40"/>
  <c r="X43"/>
  <c r="X46"/>
  <c r="T39"/>
  <c r="T41"/>
  <c r="T44"/>
  <c r="R38"/>
  <c r="R39"/>
  <c r="R40"/>
  <c r="R41"/>
  <c r="R42"/>
  <c r="R43"/>
  <c r="R44"/>
  <c r="R45"/>
  <c r="R46"/>
  <c r="R47"/>
  <c r="R48"/>
  <c r="R49"/>
  <c r="R50"/>
  <c r="V7" l="1"/>
  <c r="V28" s="1"/>
  <c r="Z28" s="1"/>
  <c r="S5"/>
  <c r="S6"/>
  <c r="S7" s="1"/>
  <c r="S49" s="1"/>
  <c r="Y6"/>
  <c r="Y7" s="1"/>
  <c r="G18"/>
  <c r="V30"/>
  <c r="Z30" s="1"/>
  <c r="Y5"/>
  <c r="T24"/>
  <c r="T15"/>
  <c r="T35"/>
  <c r="T16"/>
  <c r="T21"/>
  <c r="T22"/>
  <c r="T19"/>
  <c r="T12"/>
  <c r="T33"/>
  <c r="T13"/>
  <c r="T28"/>
  <c r="T26"/>
  <c r="T27"/>
  <c r="T34"/>
  <c r="T9"/>
  <c r="T31"/>
  <c r="T10"/>
  <c r="T29"/>
  <c r="T30"/>
  <c r="T14"/>
  <c r="T18"/>
  <c r="T11"/>
  <c r="T23"/>
  <c r="T25"/>
  <c r="T8"/>
  <c r="T36"/>
  <c r="G19"/>
  <c r="D18"/>
  <c r="R36"/>
  <c r="R31"/>
  <c r="R24"/>
  <c r="R16"/>
  <c r="R15"/>
  <c r="R23"/>
  <c r="R32"/>
  <c r="R8"/>
  <c r="D17"/>
  <c r="G23" s="1"/>
  <c r="R33"/>
  <c r="R9"/>
  <c r="R34"/>
  <c r="R26"/>
  <c r="R18"/>
  <c r="R10"/>
  <c r="X7"/>
  <c r="D20"/>
  <c r="G26" s="1"/>
  <c r="R17"/>
  <c r="R35"/>
  <c r="R28"/>
  <c r="R20"/>
  <c r="R12"/>
  <c r="T17"/>
  <c r="R25"/>
  <c r="R19"/>
  <c r="R29"/>
  <c r="R21"/>
  <c r="R13"/>
  <c r="T20"/>
  <c r="T32"/>
  <c r="R27"/>
  <c r="R11"/>
  <c r="R30"/>
  <c r="R22"/>
  <c r="R14"/>
  <c r="V12" l="1"/>
  <c r="Z12" s="1"/>
  <c r="V15"/>
  <c r="Z15" s="1"/>
  <c r="V22"/>
  <c r="Z22" s="1"/>
  <c r="V8"/>
  <c r="Z8" s="1"/>
  <c r="Z7"/>
  <c r="V36"/>
  <c r="Z36" s="1"/>
  <c r="V14"/>
  <c r="Z14" s="1"/>
  <c r="V35"/>
  <c r="Z35" s="1"/>
  <c r="V9"/>
  <c r="Z9" s="1"/>
  <c r="V32"/>
  <c r="Z32" s="1"/>
  <c r="V25"/>
  <c r="Z25" s="1"/>
  <c r="V18"/>
  <c r="Z18" s="1"/>
  <c r="V11"/>
  <c r="Z11" s="1"/>
  <c r="V17"/>
  <c r="Z17" s="1"/>
  <c r="V23"/>
  <c r="Z23" s="1"/>
  <c r="V29"/>
  <c r="Z29" s="1"/>
  <c r="V33"/>
  <c r="Z33" s="1"/>
  <c r="V27"/>
  <c r="Z27" s="1"/>
  <c r="V24"/>
  <c r="Z24" s="1"/>
  <c r="V31"/>
  <c r="Z31" s="1"/>
  <c r="V10"/>
  <c r="Z10" s="1"/>
  <c r="V21"/>
  <c r="Z21" s="1"/>
  <c r="V26"/>
  <c r="Z26" s="1"/>
  <c r="V20"/>
  <c r="Z20" s="1"/>
  <c r="V34"/>
  <c r="Z34" s="1"/>
  <c r="V13"/>
  <c r="Z13" s="1"/>
  <c r="V19"/>
  <c r="Z19" s="1"/>
  <c r="V16"/>
  <c r="Z16" s="1"/>
  <c r="Y39"/>
  <c r="F29"/>
  <c r="G29"/>
  <c r="M24" s="1"/>
  <c r="S23"/>
  <c r="S11"/>
  <c r="S41"/>
  <c r="S21"/>
  <c r="Y44"/>
  <c r="S28"/>
  <c r="U6"/>
  <c r="U7" s="1"/>
  <c r="U20" s="1"/>
  <c r="G24"/>
  <c r="M26" s="1"/>
  <c r="S32"/>
  <c r="S40"/>
  <c r="S26"/>
  <c r="S50"/>
  <c r="S31"/>
  <c r="S13"/>
  <c r="S43"/>
  <c r="S35"/>
  <c r="S36"/>
  <c r="S8"/>
  <c r="S47"/>
  <c r="S18"/>
  <c r="S42"/>
  <c r="S24"/>
  <c r="S25"/>
  <c r="S17"/>
  <c r="S48"/>
  <c r="S19"/>
  <c r="S34"/>
  <c r="S20"/>
  <c r="S45"/>
  <c r="S51"/>
  <c r="S10"/>
  <c r="S37"/>
  <c r="S16"/>
  <c r="G25"/>
  <c r="S44"/>
  <c r="S52"/>
  <c r="S33"/>
  <c r="S38"/>
  <c r="S12"/>
  <c r="S9"/>
  <c r="S30"/>
  <c r="S22"/>
  <c r="S39"/>
  <c r="S14"/>
  <c r="S27"/>
  <c r="S29"/>
  <c r="S46"/>
  <c r="Y37"/>
  <c r="S15"/>
  <c r="J23"/>
  <c r="M25"/>
  <c r="Y40"/>
  <c r="Y38"/>
  <c r="Y45"/>
  <c r="Y49"/>
  <c r="Y47"/>
  <c r="Y50"/>
  <c r="T6"/>
  <c r="W6"/>
  <c r="AA6" s="1"/>
  <c r="R6"/>
  <c r="X6"/>
  <c r="J26"/>
  <c r="Y51"/>
  <c r="X33"/>
  <c r="Y33" s="1"/>
  <c r="X13"/>
  <c r="Y13" s="1"/>
  <c r="X24"/>
  <c r="Y24" s="1"/>
  <c r="X15"/>
  <c r="Y15" s="1"/>
  <c r="X16"/>
  <c r="Y16" s="1"/>
  <c r="X14"/>
  <c r="Y14" s="1"/>
  <c r="X31"/>
  <c r="Y31" s="1"/>
  <c r="X23"/>
  <c r="Y23" s="1"/>
  <c r="X8"/>
  <c r="Y8" s="1"/>
  <c r="X21"/>
  <c r="Y21" s="1"/>
  <c r="X10"/>
  <c r="Y10" s="1"/>
  <c r="X12"/>
  <c r="Y12" s="1"/>
  <c r="X25"/>
  <c r="Y25" s="1"/>
  <c r="X18"/>
  <c r="Y18" s="1"/>
  <c r="X28"/>
  <c r="Y28" s="1"/>
  <c r="X17"/>
  <c r="Y17" s="1"/>
  <c r="X9"/>
  <c r="Y9" s="1"/>
  <c r="X35"/>
  <c r="Y35" s="1"/>
  <c r="X34"/>
  <c r="Y34" s="1"/>
  <c r="X29"/>
  <c r="Y29" s="1"/>
  <c r="X22"/>
  <c r="Y22" s="1"/>
  <c r="X20"/>
  <c r="Y20" s="1"/>
  <c r="X32"/>
  <c r="Y32" s="1"/>
  <c r="X11"/>
  <c r="Y11" s="1"/>
  <c r="X30"/>
  <c r="Y30" s="1"/>
  <c r="X27"/>
  <c r="Y27" s="1"/>
  <c r="X36"/>
  <c r="Y36" s="1"/>
  <c r="X26"/>
  <c r="Y26" s="1"/>
  <c r="X19"/>
  <c r="Y19" s="1"/>
  <c r="Y42"/>
  <c r="Y41"/>
  <c r="Y52"/>
  <c r="Y46"/>
  <c r="Y48"/>
  <c r="Y43"/>
  <c r="U17" l="1"/>
  <c r="U18"/>
  <c r="D26"/>
  <c r="D25"/>
  <c r="U14"/>
  <c r="U36"/>
  <c r="U8"/>
  <c r="U32"/>
  <c r="U13"/>
  <c r="U10"/>
  <c r="U25"/>
  <c r="U37"/>
  <c r="U15"/>
  <c r="U35"/>
  <c r="U49"/>
  <c r="U30"/>
  <c r="U34"/>
  <c r="U44"/>
  <c r="U47"/>
  <c r="U41"/>
  <c r="U42"/>
  <c r="U48"/>
  <c r="U45"/>
  <c r="U9"/>
  <c r="U38"/>
  <c r="U23"/>
  <c r="U39"/>
  <c r="U11"/>
  <c r="U29"/>
  <c r="U43"/>
  <c r="U52"/>
  <c r="U51"/>
  <c r="U19"/>
  <c r="U27"/>
  <c r="U40"/>
  <c r="U50"/>
  <c r="U22"/>
  <c r="U21"/>
  <c r="U46"/>
  <c r="J24"/>
  <c r="U26"/>
  <c r="U33"/>
  <c r="U31"/>
  <c r="U28"/>
  <c r="U16"/>
  <c r="U24"/>
  <c r="U12"/>
  <c r="J25"/>
  <c r="M23"/>
  <c r="W7"/>
  <c r="AA7" s="1"/>
  <c r="W37" l="1"/>
  <c r="AA37" s="1"/>
  <c r="W48"/>
  <c r="AA48" s="1"/>
  <c r="W27"/>
  <c r="AA27" s="1"/>
  <c r="W20"/>
  <c r="AA20" s="1"/>
  <c r="W10"/>
  <c r="AA10" s="1"/>
  <c r="W16"/>
  <c r="AA16" s="1"/>
  <c r="W39"/>
  <c r="AA39" s="1"/>
  <c r="W47"/>
  <c r="AA47" s="1"/>
  <c r="W52"/>
  <c r="AA52" s="1"/>
  <c r="W28"/>
  <c r="AA28" s="1"/>
  <c r="W25"/>
  <c r="AA25" s="1"/>
  <c r="W44"/>
  <c r="AA44" s="1"/>
  <c r="W30"/>
  <c r="AA30" s="1"/>
  <c r="W43"/>
  <c r="AA43" s="1"/>
  <c r="W45"/>
  <c r="AA45" s="1"/>
  <c r="W42"/>
  <c r="AA42" s="1"/>
  <c r="W22"/>
  <c r="AA22" s="1"/>
  <c r="W11"/>
  <c r="AA11" s="1"/>
  <c r="W17"/>
  <c r="AA17" s="1"/>
  <c r="W33"/>
  <c r="AA33" s="1"/>
  <c r="W12"/>
  <c r="AA12" s="1"/>
  <c r="W18"/>
  <c r="AA18" s="1"/>
  <c r="W29"/>
  <c r="AA29" s="1"/>
  <c r="W13"/>
  <c r="AA13" s="1"/>
  <c r="W21"/>
  <c r="AA21" s="1"/>
  <c r="W14"/>
  <c r="AA14" s="1"/>
  <c r="W23"/>
  <c r="AA23" s="1"/>
  <c r="W35"/>
  <c r="AA35" s="1"/>
  <c r="W8"/>
  <c r="AA8" s="1"/>
  <c r="W24"/>
  <c r="AA24" s="1"/>
  <c r="W51"/>
  <c r="AA51" s="1"/>
  <c r="W34"/>
  <c r="AA34" s="1"/>
  <c r="W41"/>
  <c r="AA41" s="1"/>
  <c r="W19"/>
  <c r="AA19" s="1"/>
  <c r="W9"/>
  <c r="AA9" s="1"/>
  <c r="W26"/>
  <c r="AA26" s="1"/>
  <c r="W36"/>
  <c r="AA36" s="1"/>
  <c r="W49"/>
  <c r="AA49" s="1"/>
  <c r="W31"/>
  <c r="AA31" s="1"/>
  <c r="W46"/>
  <c r="AA46" s="1"/>
  <c r="W32"/>
  <c r="AA32" s="1"/>
  <c r="W15"/>
  <c r="AA15" s="1"/>
  <c r="W40"/>
  <c r="AA40" s="1"/>
  <c r="W38"/>
  <c r="AA38" s="1"/>
  <c r="W50"/>
  <c r="AA50" s="1"/>
</calcChain>
</file>

<file path=xl/sharedStrings.xml><?xml version="1.0" encoding="utf-8"?>
<sst xmlns="http://schemas.openxmlformats.org/spreadsheetml/2006/main" count="64" uniqueCount="43">
  <si>
    <t>Spettri di risposta</t>
  </si>
  <si>
    <t>Località</t>
  </si>
  <si>
    <t>Piazza Cairoli, Messina</t>
  </si>
  <si>
    <t>Parametri</t>
  </si>
  <si>
    <t>SLO</t>
  </si>
  <si>
    <t>SLD</t>
  </si>
  <si>
    <t>SLV</t>
  </si>
  <si>
    <t>SLC</t>
  </si>
  <si>
    <t>T</t>
  </si>
  <si>
    <t>stato limite</t>
  </si>
  <si>
    <t>h</t>
  </si>
  <si>
    <t>categoria topografica</t>
  </si>
  <si>
    <t>T1</t>
  </si>
  <si>
    <t>smorzamento</t>
  </si>
  <si>
    <t>suolo</t>
  </si>
  <si>
    <t>C</t>
  </si>
  <si>
    <t>Si ottiene:</t>
  </si>
  <si>
    <t>S</t>
  </si>
  <si>
    <t>fattore di comportamento q</t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</si>
  <si>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</si>
  <si>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</si>
  <si>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</si>
  <si>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</si>
  <si>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</si>
  <si>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</si>
  <si>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r</t>
    </r>
  </si>
  <si>
    <r>
      <t>a</t>
    </r>
    <r>
      <rPr>
        <vertAlign val="subscript"/>
        <sz val="10"/>
        <rFont val="Arial"/>
        <family val="2"/>
      </rPr>
      <t>g</t>
    </r>
  </si>
  <si>
    <r>
      <t>F</t>
    </r>
    <r>
      <rPr>
        <vertAlign val="subscript"/>
        <sz val="10"/>
        <rFont val="Arial"/>
        <family val="2"/>
      </rPr>
      <t>o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</si>
  <si>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*</t>
    </r>
  </si>
  <si>
    <t>SLV/SLO</t>
  </si>
  <si>
    <t>1.5 SLV/SLD</t>
  </si>
  <si>
    <t>periodo fondamentale T1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</si>
  <si>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</si>
  <si>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progetto</t>
  </si>
  <si>
    <t>Pericolosità sismica</t>
  </si>
  <si>
    <r>
      <t>S</t>
    </r>
    <r>
      <rPr>
        <vertAlign val="subscript"/>
        <sz val="9"/>
        <color theme="0" tint="-0.499984740745262"/>
        <rFont val="Arial"/>
        <family val="2"/>
      </rPr>
      <t>e</t>
    </r>
    <r>
      <rPr>
        <sz val="9"/>
        <color theme="0" tint="-0.499984740745262"/>
        <rFont val="Arial"/>
        <family val="2"/>
      </rPr>
      <t>(T)</t>
    </r>
  </si>
  <si>
    <r>
      <t>T</t>
    </r>
    <r>
      <rPr>
        <vertAlign val="subscript"/>
        <sz val="9"/>
        <color theme="0" tint="-0.499984740745262"/>
        <rFont val="Arial"/>
        <family val="2"/>
      </rPr>
      <t>B</t>
    </r>
  </si>
  <si>
    <r>
      <t>T</t>
    </r>
    <r>
      <rPr>
        <vertAlign val="subscript"/>
        <sz val="9"/>
        <color theme="0" tint="-0.499984740745262"/>
        <rFont val="Arial"/>
        <family val="2"/>
      </rPr>
      <t>C</t>
    </r>
  </si>
  <si>
    <r>
      <t>T</t>
    </r>
    <r>
      <rPr>
        <vertAlign val="subscript"/>
        <sz val="9"/>
        <color theme="0" tint="-0.499984740745262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</si>
  <si>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</si>
  <si>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per S</t>
    </r>
    <r>
      <rPr>
        <vertAlign val="subscript"/>
        <sz val="10"/>
        <color theme="0" tint="-0.499984740745262"/>
        <rFont val="Arial"/>
        <family val="2"/>
      </rPr>
      <t>S</t>
    </r>
  </si>
  <si>
    <r>
      <t>per C</t>
    </r>
    <r>
      <rPr>
        <vertAlign val="subscript"/>
        <sz val="10"/>
        <color theme="0" tint="-0.499984740745262"/>
        <rFont val="Arial"/>
        <family val="2"/>
      </rPr>
      <t>C</t>
    </r>
  </si>
  <si>
    <t>posizione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</si>
</sst>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8"/>
      <color theme="1"/>
      <name val="Arial"/>
      <family val="2"/>
    </font>
    <font>
      <sz val="11"/>
      <color theme="0" tint="-0.499984740745262"/>
      <name val="Arial"/>
      <family val="2"/>
    </font>
    <font>
      <sz val="9"/>
      <color theme="0" tint="-0.499984740745262"/>
      <name val="Arial"/>
      <family val="2"/>
    </font>
    <font>
      <vertAlign val="subscript"/>
      <sz val="9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vertAlign val="subscript"/>
      <sz val="10"/>
      <color theme="0" tint="-0.499984740745262"/>
      <name val="Arial"/>
      <family val="2"/>
    </font>
    <font>
      <sz val="10"/>
      <color theme="0" tint="-0.499984740745262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9" fontId="3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3" fillId="3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strRef>
          <c:f>'Spettri di risposta'!$AC$7</c:f>
          <c:strCache>
            <c:ptCount val="1"/>
            <c:pt idx="0">
              <c:v>Piazza Cairoli, Messina - spettri elastici</c:v>
            </c:pt>
          </c:strCache>
        </c:strRef>
      </c:tx>
      <c:layout>
        <c:manualLayout>
          <c:xMode val="edge"/>
          <c:yMode val="edge"/>
          <c:x val="0.18718738282714692"/>
          <c:y val="1.7777777777777781E-2"/>
        </c:manualLayout>
      </c:layout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it-IT"/>
        </a:p>
      </c:txPr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risposta'!$I$23:$I$26</c:f>
              <c:numCache>
                <c:formatCode>General</c:formatCode>
                <c:ptCount val="4"/>
                <c:pt idx="0">
                  <c:v>0.61</c:v>
                </c:pt>
                <c:pt idx="1">
                  <c:v>0.61</c:v>
                </c:pt>
                <c:pt idx="2">
                  <c:v>0.61</c:v>
                </c:pt>
                <c:pt idx="3">
                  <c:v>0.61</c:v>
                </c:pt>
              </c:numCache>
            </c:numRef>
          </c:xVal>
          <c:yVal>
            <c:numRef>
              <c:f>'Spettri di risposta'!$J$23:$J$26</c:f>
              <c:numCache>
                <c:formatCode>0.000</c:formatCode>
                <c:ptCount val="4"/>
                <c:pt idx="0">
                  <c:v>0.15841213313297778</c:v>
                </c:pt>
                <c:pt idx="1">
                  <c:v>0.21493623691846517</c:v>
                </c:pt>
                <c:pt idx="2">
                  <c:v>0.70009595168185346</c:v>
                </c:pt>
                <c:pt idx="3">
                  <c:v>0.90205666751697733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2240-4FAA-ADB6-CCA3D03CF5EC}"/>
            </c:ext>
          </c:extLst>
        </c:ser>
        <c:ser>
          <c:idx val="0"/>
          <c:order val="1"/>
          <c:tx>
            <c:v>SLC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'Spettri di risposta'!$X$5:$X$52</c:f>
              <c:numCache>
                <c:formatCode>0.000</c:formatCode>
                <c:ptCount val="48"/>
                <c:pt idx="0">
                  <c:v>0</c:v>
                </c:pt>
                <c:pt idx="1">
                  <c:v>0.18399720371942338</c:v>
                </c:pt>
                <c:pt idx="2">
                  <c:v>0.55199161115827011</c:v>
                </c:pt>
                <c:pt idx="3">
                  <c:v>0.6321252241196611</c:v>
                </c:pt>
                <c:pt idx="4">
                  <c:v>0.71225883708105209</c:v>
                </c:pt>
                <c:pt idx="5">
                  <c:v>0.79239245004244319</c:v>
                </c:pt>
                <c:pt idx="6">
                  <c:v>0.87252606300383417</c:v>
                </c:pt>
                <c:pt idx="7">
                  <c:v>0.95265967596522527</c:v>
                </c:pt>
                <c:pt idx="8">
                  <c:v>1.0327932889266163</c:v>
                </c:pt>
                <c:pt idx="9">
                  <c:v>1.1129269018880072</c:v>
                </c:pt>
                <c:pt idx="10">
                  <c:v>1.1930605148493982</c:v>
                </c:pt>
                <c:pt idx="11">
                  <c:v>1.2731941278107892</c:v>
                </c:pt>
                <c:pt idx="12">
                  <c:v>1.3533277407721802</c:v>
                </c:pt>
                <c:pt idx="13">
                  <c:v>1.4334613537335712</c:v>
                </c:pt>
                <c:pt idx="14">
                  <c:v>1.5135949666949622</c:v>
                </c:pt>
                <c:pt idx="15">
                  <c:v>1.5937285796563534</c:v>
                </c:pt>
                <c:pt idx="16">
                  <c:v>1.6738621926177444</c:v>
                </c:pt>
                <c:pt idx="17">
                  <c:v>1.7539958055791354</c:v>
                </c:pt>
                <c:pt idx="18">
                  <c:v>1.8341294185405264</c:v>
                </c:pt>
                <c:pt idx="19">
                  <c:v>1.9142630315019173</c:v>
                </c:pt>
                <c:pt idx="20">
                  <c:v>1.9943966444633086</c:v>
                </c:pt>
                <c:pt idx="21">
                  <c:v>2.0745302574246995</c:v>
                </c:pt>
                <c:pt idx="22">
                  <c:v>2.1546638703860905</c:v>
                </c:pt>
                <c:pt idx="23">
                  <c:v>2.2347974833474815</c:v>
                </c:pt>
                <c:pt idx="24">
                  <c:v>2.3149310963088725</c:v>
                </c:pt>
                <c:pt idx="25">
                  <c:v>2.3950647092702635</c:v>
                </c:pt>
                <c:pt idx="26">
                  <c:v>2.4751983222316545</c:v>
                </c:pt>
                <c:pt idx="27">
                  <c:v>2.5553319351930455</c:v>
                </c:pt>
                <c:pt idx="28">
                  <c:v>2.6354655481544365</c:v>
                </c:pt>
                <c:pt idx="29">
                  <c:v>2.7155991611158274</c:v>
                </c:pt>
                <c:pt idx="30">
                  <c:v>2.7957327740772184</c:v>
                </c:pt>
                <c:pt idx="31">
                  <c:v>2.8758663870386094</c:v>
                </c:pt>
                <c:pt idx="32">
                  <c:v>2.9560000000000004</c:v>
                </c:pt>
                <c:pt idx="33">
                  <c:v>2.9589333333333339</c:v>
                </c:pt>
                <c:pt idx="34">
                  <c:v>2.9618666666666669</c:v>
                </c:pt>
                <c:pt idx="35">
                  <c:v>2.9648000000000003</c:v>
                </c:pt>
                <c:pt idx="36">
                  <c:v>2.9677333333333338</c:v>
                </c:pt>
                <c:pt idx="37">
                  <c:v>2.9706666666666668</c:v>
                </c:pt>
                <c:pt idx="38">
                  <c:v>2.9736000000000002</c:v>
                </c:pt>
                <c:pt idx="39">
                  <c:v>2.9765333333333337</c:v>
                </c:pt>
                <c:pt idx="40">
                  <c:v>2.9794666666666667</c:v>
                </c:pt>
                <c:pt idx="41">
                  <c:v>2.9824000000000002</c:v>
                </c:pt>
                <c:pt idx="42">
                  <c:v>2.9853333333333336</c:v>
                </c:pt>
                <c:pt idx="43">
                  <c:v>2.9882666666666666</c:v>
                </c:pt>
                <c:pt idx="44">
                  <c:v>2.9912000000000001</c:v>
                </c:pt>
                <c:pt idx="45">
                  <c:v>2.9941333333333335</c:v>
                </c:pt>
                <c:pt idx="46">
                  <c:v>2.9970666666666665</c:v>
                </c:pt>
                <c:pt idx="47">
                  <c:v>3</c:v>
                </c:pt>
              </c:numCache>
            </c:numRef>
          </c:xVal>
          <c:yVal>
            <c:numRef>
              <c:f>'Spettri di risposta'!$Y$5:$Y$52</c:f>
              <c:numCache>
                <c:formatCode>0.000</c:formatCode>
                <c:ptCount val="48"/>
                <c:pt idx="0">
                  <c:v>0.40771089300000007</c:v>
                </c:pt>
                <c:pt idx="1">
                  <c:v>0.99685313338500015</c:v>
                </c:pt>
                <c:pt idx="2">
                  <c:v>0.99685313338500015</c:v>
                </c:pt>
                <c:pt idx="3">
                  <c:v>0.87048348363518735</c:v>
                </c:pt>
                <c:pt idx="4">
                  <c:v>0.7725485996641126</c:v>
                </c:pt>
                <c:pt idx="5">
                  <c:v>0.69442176935921418</c:v>
                </c:pt>
                <c:pt idx="6">
                  <c:v>0.63064542197284268</c:v>
                </c:pt>
                <c:pt idx="7">
                  <c:v>0.57759825577569845</c:v>
                </c:pt>
                <c:pt idx="8">
                  <c:v>0.5327828647659365</c:v>
                </c:pt>
                <c:pt idx="9">
                  <c:v>0.4944211216854274</c:v>
                </c:pt>
                <c:pt idx="10">
                  <c:v>0.46121262110062838</c:v>
                </c:pt>
                <c:pt idx="11">
                  <c:v>0.43218434264341038</c:v>
                </c:pt>
                <c:pt idx="12">
                  <c:v>0.40659372494011875</c:v>
                </c:pt>
                <c:pt idx="13">
                  <c:v>0.38386424981194761</c:v>
                </c:pt>
                <c:pt idx="14">
                  <c:v>0.36354148850459944</c:v>
                </c:pt>
                <c:pt idx="15">
                  <c:v>0.34526240804692376</c:v>
                </c:pt>
                <c:pt idx="16">
                  <c:v>0.32873349407863495</c:v>
                </c:pt>
                <c:pt idx="17">
                  <c:v>0.31371487060293896</c:v>
                </c:pt>
                <c:pt idx="18">
                  <c:v>0.30000858261311286</c:v>
                </c:pt>
                <c:pt idx="19">
                  <c:v>0.28744982174870204</c:v>
                </c:pt>
                <c:pt idx="20">
                  <c:v>0.27590026723767852</c:v>
                </c:pt>
                <c:pt idx="21">
                  <c:v>0.26524297016927412</c:v>
                </c:pt>
                <c:pt idx="22">
                  <c:v>0.25537837931387275</c:v>
                </c:pt>
                <c:pt idx="23">
                  <c:v>0.24622122196107682</c:v>
                </c:pt>
                <c:pt idx="24">
                  <c:v>0.23769803259489231</c:v>
                </c:pt>
                <c:pt idx="25">
                  <c:v>0.22974517767956656</c:v>
                </c:pt>
                <c:pt idx="26">
                  <c:v>0.22230726412631177</c:v>
                </c:pt>
                <c:pt idx="27">
                  <c:v>0.21533584721696306</c:v>
                </c:pt>
                <c:pt idx="28">
                  <c:v>0.20878837424783958</c:v>
                </c:pt>
                <c:pt idx="29">
                  <c:v>0.20262731520334504</c:v>
                </c:pt>
                <c:pt idx="30">
                  <c:v>0.19681944293369652</c:v>
                </c:pt>
                <c:pt idx="31">
                  <c:v>0.19133523367612865</c:v>
                </c:pt>
                <c:pt idx="32">
                  <c:v>0.18614836508300273</c:v>
                </c:pt>
                <c:pt idx="33">
                  <c:v>0.18577947231845296</c:v>
                </c:pt>
                <c:pt idx="34">
                  <c:v>0.18541167502812134</c:v>
                </c:pt>
                <c:pt idx="35">
                  <c:v>0.18504496887876312</c:v>
                </c:pt>
                <c:pt idx="36">
                  <c:v>0.18467934955853829</c:v>
                </c:pt>
                <c:pt idx="37">
                  <c:v>0.18431481277688466</c:v>
                </c:pt>
                <c:pt idx="38">
                  <c:v>0.18395135426439158</c:v>
                </c:pt>
                <c:pt idx="39">
                  <c:v>0.18358896977267558</c:v>
                </c:pt>
                <c:pt idx="40">
                  <c:v>0.18322765507425573</c:v>
                </c:pt>
                <c:pt idx="41">
                  <c:v>0.18286740596243051</c:v>
                </c:pt>
                <c:pt idx="42">
                  <c:v>0.18250821825115551</c:v>
                </c:pt>
                <c:pt idx="43">
                  <c:v>0.18215008777492162</c:v>
                </c:pt>
                <c:pt idx="44">
                  <c:v>0.18179301038863427</c:v>
                </c:pt>
                <c:pt idx="45">
                  <c:v>0.18143698196749364</c:v>
                </c:pt>
                <c:pt idx="46">
                  <c:v>0.18108199840687544</c:v>
                </c:pt>
                <c:pt idx="47">
                  <c:v>0.18072805562221256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2240-4FAA-ADB6-CCA3D03CF5EC}"/>
            </c:ext>
          </c:extLst>
        </c:ser>
        <c:ser>
          <c:idx val="1"/>
          <c:order val="2"/>
          <c:tx>
            <c:v>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2240-4FAA-ADB6-CCA3D03CF5EC}"/>
            </c:ext>
          </c:extLst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2240-4FAA-ADB6-CCA3D03CF5EC}"/>
            </c:ext>
          </c:extLst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2240-4FAA-ADB6-CCA3D03CF5EC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2240-4FAA-ADB6-CCA3D03CF5EC}"/>
            </c:ext>
          </c:extLst>
        </c:ser>
        <c:dLbls/>
        <c:axId val="145594240"/>
        <c:axId val="145595776"/>
      </c:scatterChart>
      <c:valAx>
        <c:axId val="145594240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45595776"/>
        <c:crosses val="autoZero"/>
        <c:crossBetween val="midCat"/>
      </c:valAx>
      <c:valAx>
        <c:axId val="145595776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45594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36117360330033"/>
          <c:y val="0.16817637795275575"/>
          <c:w val="0.17116071428571417"/>
          <c:h val="0.45501942257217826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r>
              <a:rPr lang="en-US"/>
              <a:t>Spettri elastici e spettro di progetto</a:t>
            </a:r>
          </a:p>
        </c:rich>
      </c:tx>
      <c:layout/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risposta'!$L$23:$L$24</c:f>
              <c:numCache>
                <c:formatCode>General</c:formatCode>
                <c:ptCount val="2"/>
                <c:pt idx="0">
                  <c:v>0.61</c:v>
                </c:pt>
                <c:pt idx="1">
                  <c:v>0.61</c:v>
                </c:pt>
              </c:numCache>
            </c:numRef>
          </c:xVal>
          <c:yVal>
            <c:numRef>
              <c:f>'Spettri di risposta'!$M$23:$M$24</c:f>
              <c:numCache>
                <c:formatCode>0.000</c:formatCode>
                <c:ptCount val="2"/>
                <c:pt idx="0">
                  <c:v>0.70009595168185346</c:v>
                </c:pt>
                <c:pt idx="1">
                  <c:v>0.11967452165501771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7C4-4B21-A8D1-2074D7E4733C}"/>
            </c:ext>
          </c:extLst>
        </c:ser>
        <c:ser>
          <c:idx val="1"/>
          <c:order val="1"/>
          <c:tx>
            <c:v>Se,SLV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7C4-4B21-A8D1-2074D7E4733C}"/>
            </c:ext>
          </c:extLst>
        </c:ser>
        <c:ser>
          <c:idx val="0"/>
          <c:order val="2"/>
          <c:tx>
            <c:v>Sd,SLV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'Spettri di risposta'!$Z$5:$Z$52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risposta'!$AA$5:$AA$52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0.13785405982905985</c:v>
                </c:pt>
                <c:pt idx="2">
                  <c:v>0.13785405982905985</c:v>
                </c:pt>
                <c:pt idx="3">
                  <c:v>0.12195958521672864</c:v>
                </c:pt>
                <c:pt idx="4">
                  <c:v>0.10935144206921339</c:v>
                </c:pt>
                <c:pt idx="5">
                  <c:v>9.910590510611636E-2</c:v>
                </c:pt>
                <c:pt idx="6">
                  <c:v>9.0615780838415719E-2</c:v>
                </c:pt>
                <c:pt idx="7">
                  <c:v>8.3465524045388637E-2</c:v>
                </c:pt>
                <c:pt idx="8">
                  <c:v>7.7361155445129795E-2</c:v>
                </c:pt>
                <c:pt idx="9">
                  <c:v>7.2088836876576232E-2</c:v>
                </c:pt>
                <c:pt idx="10">
                  <c:v>6.7489304813010048E-2</c:v>
                </c:pt>
                <c:pt idx="11">
                  <c:v>6.6924999999999998E-2</c:v>
                </c:pt>
                <c:pt idx="12">
                  <c:v>6.6924999999999998E-2</c:v>
                </c:pt>
                <c:pt idx="13">
                  <c:v>6.6924999999999998E-2</c:v>
                </c:pt>
                <c:pt idx="14">
                  <c:v>6.6924999999999998E-2</c:v>
                </c:pt>
                <c:pt idx="15">
                  <c:v>6.6924999999999998E-2</c:v>
                </c:pt>
                <c:pt idx="16">
                  <c:v>6.6924999999999998E-2</c:v>
                </c:pt>
                <c:pt idx="17">
                  <c:v>6.6924999999999998E-2</c:v>
                </c:pt>
                <c:pt idx="18">
                  <c:v>6.6924999999999998E-2</c:v>
                </c:pt>
                <c:pt idx="19">
                  <c:v>6.6924999999999998E-2</c:v>
                </c:pt>
                <c:pt idx="20">
                  <c:v>6.6924999999999998E-2</c:v>
                </c:pt>
                <c:pt idx="21">
                  <c:v>6.6924999999999998E-2</c:v>
                </c:pt>
                <c:pt idx="22">
                  <c:v>6.6924999999999998E-2</c:v>
                </c:pt>
                <c:pt idx="23">
                  <c:v>6.6924999999999998E-2</c:v>
                </c:pt>
                <c:pt idx="24">
                  <c:v>6.6924999999999998E-2</c:v>
                </c:pt>
                <c:pt idx="25">
                  <c:v>6.6924999999999998E-2</c:v>
                </c:pt>
                <c:pt idx="26">
                  <c:v>6.6924999999999998E-2</c:v>
                </c:pt>
                <c:pt idx="27">
                  <c:v>6.6924999999999998E-2</c:v>
                </c:pt>
                <c:pt idx="28">
                  <c:v>6.6924999999999998E-2</c:v>
                </c:pt>
                <c:pt idx="29">
                  <c:v>6.6924999999999998E-2</c:v>
                </c:pt>
                <c:pt idx="30">
                  <c:v>6.6924999999999998E-2</c:v>
                </c:pt>
                <c:pt idx="31">
                  <c:v>6.6924999999999998E-2</c:v>
                </c:pt>
                <c:pt idx="32">
                  <c:v>6.6924999999999998E-2</c:v>
                </c:pt>
                <c:pt idx="33">
                  <c:v>6.6924999999999998E-2</c:v>
                </c:pt>
                <c:pt idx="34">
                  <c:v>6.6924999999999998E-2</c:v>
                </c:pt>
                <c:pt idx="35">
                  <c:v>6.6924999999999998E-2</c:v>
                </c:pt>
                <c:pt idx="36">
                  <c:v>6.6924999999999998E-2</c:v>
                </c:pt>
                <c:pt idx="37">
                  <c:v>6.6924999999999998E-2</c:v>
                </c:pt>
                <c:pt idx="38">
                  <c:v>6.6924999999999998E-2</c:v>
                </c:pt>
                <c:pt idx="39">
                  <c:v>6.6924999999999998E-2</c:v>
                </c:pt>
                <c:pt idx="40">
                  <c:v>6.6924999999999998E-2</c:v>
                </c:pt>
                <c:pt idx="41">
                  <c:v>6.6924999999999998E-2</c:v>
                </c:pt>
                <c:pt idx="42">
                  <c:v>6.6924999999999998E-2</c:v>
                </c:pt>
                <c:pt idx="43">
                  <c:v>6.6924999999999998E-2</c:v>
                </c:pt>
                <c:pt idx="44">
                  <c:v>6.6924999999999998E-2</c:v>
                </c:pt>
                <c:pt idx="45">
                  <c:v>6.6924999999999998E-2</c:v>
                </c:pt>
                <c:pt idx="46">
                  <c:v>6.6924999999999998E-2</c:v>
                </c:pt>
                <c:pt idx="47">
                  <c:v>6.6924999999999998E-2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07C4-4B21-A8D1-2074D7E4733C}"/>
            </c:ext>
          </c:extLst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07C4-4B21-A8D1-2074D7E4733C}"/>
            </c:ext>
          </c:extLst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07C4-4B21-A8D1-2074D7E4733C}"/>
            </c:ext>
          </c:extLst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07C4-4B21-A8D1-2074D7E4733C}"/>
            </c:ext>
          </c:extLst>
        </c:ser>
        <c:dLbls/>
        <c:axId val="146288000"/>
        <c:axId val="146293888"/>
      </c:scatterChart>
      <c:valAx>
        <c:axId val="146288000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46293888"/>
        <c:crosses val="autoZero"/>
        <c:crossBetween val="midCat"/>
      </c:valAx>
      <c:valAx>
        <c:axId val="146293888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462880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35278402699663"/>
          <c:y val="0.16817637795275575"/>
          <c:w val="0.19199404761904759"/>
          <c:h val="0.4502939632545933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15</xdr:row>
      <xdr:rowOff>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0</xdr:colOff>
      <xdr:row>31</xdr:row>
      <xdr:rowOff>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</cdr:x>
      <cdr:y>0.21333</cdr:y>
    </cdr:from>
    <cdr:to>
      <cdr:x>0.8125</cdr:x>
      <cdr:y>0.27333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0400" y="609600"/>
          <a:ext cx="2667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0.75</cdr:x>
      <cdr:y>0.18667</cdr:y>
    </cdr:from>
    <cdr:to>
      <cdr:x>0.84152</cdr:x>
      <cdr:y>0.23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3200400" y="533399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0.72768</cdr:x>
      <cdr:y>0.18333</cdr:y>
    </cdr:from>
    <cdr:to>
      <cdr:x>0.8192</cdr:x>
      <cdr:y>0.22667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105150" y="523875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53"/>
  <sheetViews>
    <sheetView tabSelected="1" workbookViewId="0">
      <selection activeCell="B3" sqref="B3:E3"/>
    </sheetView>
  </sheetViews>
  <sheetFormatPr defaultColWidth="9.140625" defaultRowHeight="14.25"/>
  <cols>
    <col min="1" max="1" width="23.5703125" style="9" bestFit="1" customWidth="1"/>
    <col min="2" max="16" width="9.140625" style="1"/>
    <col min="17" max="17" width="6.5703125" style="20" customWidth="1"/>
    <col min="18" max="18" width="6.5703125" style="21" customWidth="1"/>
    <col min="19" max="19" width="6.5703125" style="22" customWidth="1"/>
    <col min="20" max="20" width="6.5703125" style="21" customWidth="1"/>
    <col min="21" max="21" width="6.5703125" style="22" customWidth="1"/>
    <col min="22" max="22" width="6.5703125" style="21" customWidth="1"/>
    <col min="23" max="23" width="6.5703125" style="22" customWidth="1"/>
    <col min="24" max="24" width="6.5703125" style="21" customWidth="1"/>
    <col min="25" max="25" width="6.5703125" style="22" customWidth="1"/>
    <col min="26" max="26" width="6.5703125" style="21" customWidth="1"/>
    <col min="27" max="27" width="6.5703125" style="22" customWidth="1"/>
    <col min="28" max="16384" width="9.140625" style="1"/>
  </cols>
  <sheetData>
    <row r="1" spans="1:35" ht="15" customHeight="1">
      <c r="A1" s="15" t="s">
        <v>0</v>
      </c>
    </row>
    <row r="2" spans="1:35" ht="15" customHeight="1">
      <c r="Z2" s="21" t="s">
        <v>33</v>
      </c>
    </row>
    <row r="3" spans="1:35" ht="15" customHeight="1">
      <c r="A3" s="3" t="s">
        <v>1</v>
      </c>
      <c r="B3" s="33" t="s">
        <v>2</v>
      </c>
      <c r="C3" s="34"/>
      <c r="D3" s="34"/>
      <c r="E3" s="34"/>
      <c r="R3" s="22" t="s">
        <v>4</v>
      </c>
      <c r="T3" s="22" t="s">
        <v>5</v>
      </c>
      <c r="V3" s="22" t="s">
        <v>6</v>
      </c>
      <c r="X3" s="22" t="s">
        <v>7</v>
      </c>
      <c r="Z3" s="22" t="s">
        <v>6</v>
      </c>
      <c r="AC3" s="28" t="s">
        <v>3</v>
      </c>
      <c r="AD3" s="28"/>
      <c r="AE3" s="28"/>
      <c r="AF3" s="28"/>
      <c r="AG3" s="28"/>
    </row>
    <row r="4" spans="1:35" ht="15" customHeight="1">
      <c r="A4" s="3"/>
      <c r="B4" s="2"/>
      <c r="C4" s="2"/>
      <c r="D4" s="2"/>
      <c r="E4" s="2"/>
      <c r="P4" s="9"/>
      <c r="R4" s="22" t="s">
        <v>8</v>
      </c>
      <c r="S4" s="22" t="s">
        <v>35</v>
      </c>
      <c r="T4" s="22" t="s">
        <v>8</v>
      </c>
      <c r="U4" s="22" t="s">
        <v>35</v>
      </c>
      <c r="V4" s="22" t="s">
        <v>8</v>
      </c>
      <c r="W4" s="22" t="s">
        <v>35</v>
      </c>
      <c r="X4" s="22" t="s">
        <v>8</v>
      </c>
      <c r="Y4" s="22" t="s">
        <v>35</v>
      </c>
      <c r="Z4" s="22" t="s">
        <v>8</v>
      </c>
      <c r="AA4" s="22" t="s">
        <v>35</v>
      </c>
      <c r="AC4" s="29" t="s">
        <v>40</v>
      </c>
      <c r="AD4" s="29">
        <f>IF(B14="A",1,IF(B14="B",1.4,IF(B14="C",1.7,IF(B14="D",2.4,2))))</f>
        <v>1.7</v>
      </c>
      <c r="AE4" s="29">
        <f>IF(B14="A",0,IF(B14="B",0.4,IF(B14="C",0.6,IF(B14="D",1.5,1.1))))</f>
        <v>0.6</v>
      </c>
      <c r="AF4" s="29">
        <f>IF(B14="A",1,IF(B14="B",1,IF(B14="C",1,IF(B14="D",0.9,1))))</f>
        <v>1</v>
      </c>
      <c r="AG4" s="29">
        <f>IF(B14="A",1,IF(B14="B",1.2,IF(B14="C",1.5,IF(B14="D",1.8,1.6))))</f>
        <v>1.5</v>
      </c>
      <c r="AH4" s="9"/>
      <c r="AI4" s="9"/>
    </row>
    <row r="5" spans="1:35" ht="15" customHeight="1">
      <c r="A5" s="9" t="s">
        <v>34</v>
      </c>
      <c r="Q5" s="23">
        <v>0</v>
      </c>
      <c r="R5" s="24">
        <v>0</v>
      </c>
      <c r="S5" s="25">
        <f>C17</f>
        <v>9.1499999999999998E-2</v>
      </c>
      <c r="T5" s="24">
        <v>0</v>
      </c>
      <c r="U5" s="25">
        <f>C18</f>
        <v>0.123</v>
      </c>
      <c r="V5" s="24">
        <v>0</v>
      </c>
      <c r="W5" s="25">
        <f>C19</f>
        <v>0.33462500000000001</v>
      </c>
      <c r="X5" s="24">
        <v>0</v>
      </c>
      <c r="Y5" s="25">
        <f>C20</f>
        <v>0.40771089300000007</v>
      </c>
      <c r="Z5" s="24">
        <f>IF($B$29="",-1,V5)</f>
        <v>0</v>
      </c>
      <c r="AA5" s="24">
        <f>W5</f>
        <v>0.33462500000000001</v>
      </c>
      <c r="AC5" s="29" t="s">
        <v>41</v>
      </c>
      <c r="AD5" s="29">
        <f>IF(B14="A",1,IF(B14="B",1.1,IF(B14="C",1.05,IF(B14="D",1.25,1.15))))</f>
        <v>1.05</v>
      </c>
      <c r="AE5" s="29">
        <f>IF(B14="A",0,IF(B14="B",0.2,IF(B14="C",0.33,IF(B14="D",0.5,0.4))))</f>
        <v>0.33</v>
      </c>
      <c r="AF5" s="28"/>
      <c r="AG5" s="28"/>
    </row>
    <row r="6" spans="1:35" ht="15" customHeight="1">
      <c r="A6" s="3" t="s">
        <v>9</v>
      </c>
      <c r="B6" s="3" t="s">
        <v>25</v>
      </c>
      <c r="C6" s="3" t="s">
        <v>26</v>
      </c>
      <c r="D6" s="3" t="s">
        <v>27</v>
      </c>
      <c r="E6" s="3" t="s">
        <v>28</v>
      </c>
      <c r="N6" s="9">
        <v>0</v>
      </c>
      <c r="O6" s="13">
        <f>MAX(1,G20)</f>
        <v>1</v>
      </c>
      <c r="Q6" s="25" t="s">
        <v>36</v>
      </c>
      <c r="R6" s="24">
        <f>D17</f>
        <v>0.14916396716852898</v>
      </c>
      <c r="S6" s="25">
        <f>G17</f>
        <v>0.21593999999999999</v>
      </c>
      <c r="T6" s="24">
        <f>D18</f>
        <v>0.15341737754593213</v>
      </c>
      <c r="U6" s="25">
        <f>G18</f>
        <v>0.28486799999999995</v>
      </c>
      <c r="V6" s="24">
        <f>D19</f>
        <v>0.17651869980007165</v>
      </c>
      <c r="W6" s="25">
        <f>G19</f>
        <v>0.80644625000000003</v>
      </c>
      <c r="X6" s="24">
        <f>D20</f>
        <v>0.18399720371942338</v>
      </c>
      <c r="Y6" s="25">
        <f>G20</f>
        <v>0.99685313338500015</v>
      </c>
      <c r="Z6" s="24">
        <f t="shared" ref="Z6:Z52" si="0">IF($B$29="",-1,V6)</f>
        <v>0.17651869980007165</v>
      </c>
      <c r="AA6" s="24">
        <f t="shared" ref="AA6:AA52" si="1">MAX(W6/$AD$6/$B$29,0.2*$C$19)</f>
        <v>0.13785405982905985</v>
      </c>
      <c r="AC6" s="30" t="s">
        <v>10</v>
      </c>
      <c r="AD6" s="31">
        <f>MAX(SQRT(10/(5+B13*100)),0.55)</f>
        <v>1</v>
      </c>
      <c r="AE6" s="28"/>
      <c r="AF6" s="28"/>
      <c r="AG6" s="28"/>
    </row>
    <row r="7" spans="1:35" ht="15" customHeight="1">
      <c r="A7" s="3" t="s">
        <v>4</v>
      </c>
      <c r="B7" s="4">
        <v>30</v>
      </c>
      <c r="C7" s="5">
        <v>6.0999999999999999E-2</v>
      </c>
      <c r="D7" s="5">
        <v>2.36</v>
      </c>
      <c r="E7" s="5">
        <v>0.28000000000000003</v>
      </c>
      <c r="Q7" s="25" t="s">
        <v>37</v>
      </c>
      <c r="R7" s="24">
        <f>E17</f>
        <v>0.44749190150558693</v>
      </c>
      <c r="S7" s="25">
        <f>S6</f>
        <v>0.21593999999999999</v>
      </c>
      <c r="T7" s="24">
        <f>E18</f>
        <v>0.46025213263779635</v>
      </c>
      <c r="U7" s="25">
        <f>U6</f>
        <v>0.28486799999999995</v>
      </c>
      <c r="V7" s="24">
        <f>E19</f>
        <v>0.52955609940021497</v>
      </c>
      <c r="W7" s="25">
        <f>W6</f>
        <v>0.80644625000000003</v>
      </c>
      <c r="X7" s="24">
        <f>E20</f>
        <v>0.55199161115827011</v>
      </c>
      <c r="Y7" s="25">
        <f>Y6</f>
        <v>0.99685313338500015</v>
      </c>
      <c r="Z7" s="24">
        <f t="shared" si="0"/>
        <v>0.52955609940021497</v>
      </c>
      <c r="AA7" s="24">
        <f t="shared" si="1"/>
        <v>0.13785405982905985</v>
      </c>
      <c r="AC7" s="28" t="str">
        <f>CONCATENATE(B3," - spettri elastici")</f>
        <v>Piazza Cairoli, Messina - spettri elastici</v>
      </c>
      <c r="AD7" s="28"/>
      <c r="AE7" s="28"/>
      <c r="AF7" s="28"/>
      <c r="AG7" s="28"/>
    </row>
    <row r="8" spans="1:35" ht="15" customHeight="1">
      <c r="A8" s="3" t="s">
        <v>5</v>
      </c>
      <c r="B8" s="4">
        <v>50</v>
      </c>
      <c r="C8" s="5">
        <v>8.2000000000000003E-2</v>
      </c>
      <c r="D8" s="5">
        <v>2.3159999999999998</v>
      </c>
      <c r="E8" s="5">
        <v>0.29199999999999998</v>
      </c>
      <c r="Q8" s="25"/>
      <c r="R8" s="24">
        <f t="shared" ref="R8:R36" si="2">R$7+(R$37-R$7)*(ROW(R8)-ROW(R$7))/30</f>
        <v>0.49404217145540069</v>
      </c>
      <c r="S8" s="25">
        <f>S$7*R$7/R8</f>
        <v>0.19559342662277115</v>
      </c>
      <c r="T8" s="24">
        <f t="shared" ref="T8:T36" si="3">T$7+(T$37-T$7)*(ROW(T8)-ROW(T$7))/30</f>
        <v>0.50917706154986986</v>
      </c>
      <c r="U8" s="25">
        <f>U$7*T$7/T8</f>
        <v>0.25749609403294471</v>
      </c>
      <c r="V8" s="24">
        <f t="shared" ref="V8:V36" si="4">V$7+(V$37-V$7)*(ROW(V8)-ROW(V$7))/30</f>
        <v>0.59857089608687453</v>
      </c>
      <c r="W8" s="25">
        <f>W$7*V$7/V8</f>
        <v>0.71346357351786249</v>
      </c>
      <c r="X8" s="24">
        <f t="shared" ref="X8:X36" si="5">X$7+(X$37-X$7)*(ROW(X8)-ROW(X$7))/30</f>
        <v>0.6321252241196611</v>
      </c>
      <c r="Y8" s="25">
        <f>Y$7*X$7/X8</f>
        <v>0.87048348363518735</v>
      </c>
      <c r="Z8" s="24">
        <f t="shared" si="0"/>
        <v>0.59857089608687453</v>
      </c>
      <c r="AA8" s="24">
        <f t="shared" si="1"/>
        <v>0.12195958521672864</v>
      </c>
    </row>
    <row r="9" spans="1:35" ht="15" customHeight="1">
      <c r="A9" s="3" t="s">
        <v>6</v>
      </c>
      <c r="B9" s="4">
        <v>475</v>
      </c>
      <c r="C9" s="5">
        <v>0.25</v>
      </c>
      <c r="D9" s="5">
        <v>2.41</v>
      </c>
      <c r="E9" s="5">
        <v>0.36</v>
      </c>
      <c r="Q9" s="25"/>
      <c r="R9" s="24">
        <f t="shared" si="2"/>
        <v>0.54059244140521445</v>
      </c>
      <c r="S9" s="25">
        <f t="shared" ref="S9:U37" si="6">S$7*R$7/R9</f>
        <v>0.17875092918416144</v>
      </c>
      <c r="T9" s="24">
        <f t="shared" si="3"/>
        <v>0.55810199046194331</v>
      </c>
      <c r="U9" s="25">
        <f t="shared" si="6"/>
        <v>0.23492319819849156</v>
      </c>
      <c r="V9" s="24">
        <f t="shared" si="4"/>
        <v>0.66758569277353397</v>
      </c>
      <c r="W9" s="25">
        <f t="shared" ref="W9:W37" si="7">W$7*V$7/V9</f>
        <v>0.63970593610489834</v>
      </c>
      <c r="X9" s="24">
        <f t="shared" si="5"/>
        <v>0.71225883708105209</v>
      </c>
      <c r="Y9" s="25">
        <f t="shared" ref="Y9:Y37" si="8">Y$7*X$7/X9</f>
        <v>0.7725485996641126</v>
      </c>
      <c r="Z9" s="24">
        <f t="shared" si="0"/>
        <v>0.66758569277353397</v>
      </c>
      <c r="AA9" s="24">
        <f t="shared" si="1"/>
        <v>0.10935144206921339</v>
      </c>
    </row>
    <row r="10" spans="1:35" ht="15" customHeight="1">
      <c r="A10" s="3" t="s">
        <v>7</v>
      </c>
      <c r="B10" s="4">
        <v>975</v>
      </c>
      <c r="C10" s="5">
        <v>0.33900000000000002</v>
      </c>
      <c r="D10" s="5">
        <v>2.4449999999999998</v>
      </c>
      <c r="E10" s="5">
        <v>0.38300000000000001</v>
      </c>
      <c r="Q10" s="25"/>
      <c r="R10" s="24">
        <f t="shared" si="2"/>
        <v>0.58714271135502827</v>
      </c>
      <c r="S10" s="25">
        <f t="shared" si="6"/>
        <v>0.16457906969177416</v>
      </c>
      <c r="T10" s="24">
        <f t="shared" si="3"/>
        <v>0.60702691937401676</v>
      </c>
      <c r="U10" s="25">
        <f t="shared" si="6"/>
        <v>0.21598894601819177</v>
      </c>
      <c r="V10" s="24">
        <f t="shared" si="4"/>
        <v>0.73660048946019341</v>
      </c>
      <c r="W10" s="25">
        <f t="shared" si="7"/>
        <v>0.5797695448707807</v>
      </c>
      <c r="X10" s="24">
        <f t="shared" si="5"/>
        <v>0.79239245004244319</v>
      </c>
      <c r="Y10" s="25">
        <f t="shared" si="8"/>
        <v>0.69442176935921418</v>
      </c>
      <c r="Z10" s="24">
        <f t="shared" si="0"/>
        <v>0.73660048946019341</v>
      </c>
      <c r="AA10" s="24">
        <f t="shared" si="1"/>
        <v>9.910590510611636E-2</v>
      </c>
    </row>
    <row r="11" spans="1:35" ht="15" customHeight="1">
      <c r="A11" s="3"/>
      <c r="B11" s="2"/>
      <c r="C11" s="2"/>
      <c r="D11" s="2"/>
      <c r="E11" s="2"/>
      <c r="Q11" s="25"/>
      <c r="R11" s="24">
        <f t="shared" si="2"/>
        <v>0.63369298130484197</v>
      </c>
      <c r="S11" s="25">
        <f t="shared" si="6"/>
        <v>0.15248930327765661</v>
      </c>
      <c r="T11" s="24">
        <f t="shared" si="3"/>
        <v>0.65595184828609021</v>
      </c>
      <c r="U11" s="25">
        <f t="shared" si="6"/>
        <v>0.1998791601286567</v>
      </c>
      <c r="V11" s="24">
        <f t="shared" si="4"/>
        <v>0.80561528614685296</v>
      </c>
      <c r="W11" s="25">
        <f t="shared" si="7"/>
        <v>0.53010231790473195</v>
      </c>
      <c r="X11" s="24">
        <f t="shared" si="5"/>
        <v>0.87252606300383417</v>
      </c>
      <c r="Y11" s="25">
        <f t="shared" si="8"/>
        <v>0.63064542197284268</v>
      </c>
      <c r="Z11" s="24">
        <f t="shared" si="0"/>
        <v>0.80561528614685296</v>
      </c>
      <c r="AA11" s="24">
        <f t="shared" si="1"/>
        <v>9.0615780838415719E-2</v>
      </c>
    </row>
    <row r="12" spans="1:35" ht="15" customHeight="1">
      <c r="A12" s="3" t="s">
        <v>11</v>
      </c>
      <c r="B12" s="4" t="s">
        <v>12</v>
      </c>
      <c r="C12" s="2"/>
      <c r="D12" s="3" t="s">
        <v>42</v>
      </c>
      <c r="E12" s="6">
        <v>0</v>
      </c>
      <c r="Q12" s="25"/>
      <c r="R12" s="24">
        <f t="shared" si="2"/>
        <v>0.68024325125465579</v>
      </c>
      <c r="S12" s="25">
        <f t="shared" si="6"/>
        <v>0.14205418581204199</v>
      </c>
      <c r="T12" s="24">
        <f t="shared" si="3"/>
        <v>0.70487677719816366</v>
      </c>
      <c r="U12" s="25">
        <f t="shared" si="6"/>
        <v>0.18600570874447206</v>
      </c>
      <c r="V12" s="24">
        <f t="shared" si="4"/>
        <v>0.87463008283351251</v>
      </c>
      <c r="W12" s="25">
        <f t="shared" si="7"/>
        <v>0.48827331566552351</v>
      </c>
      <c r="X12" s="24">
        <f t="shared" si="5"/>
        <v>0.95265967596522527</v>
      </c>
      <c r="Y12" s="25">
        <f t="shared" si="8"/>
        <v>0.57759825577569845</v>
      </c>
      <c r="Z12" s="24">
        <f t="shared" si="0"/>
        <v>0.87463008283351251</v>
      </c>
      <c r="AA12" s="24">
        <f t="shared" si="1"/>
        <v>8.3465524045388637E-2</v>
      </c>
    </row>
    <row r="13" spans="1:35" ht="15" customHeight="1">
      <c r="A13" s="9" t="s">
        <v>13</v>
      </c>
      <c r="B13" s="6">
        <v>0.05</v>
      </c>
      <c r="E13" s="32" t="str">
        <f>IF(OR(E12&lt;0,E12&gt;1),"errore","")</f>
        <v/>
      </c>
      <c r="Q13" s="25"/>
      <c r="R13" s="24">
        <f t="shared" si="2"/>
        <v>0.72679352120446961</v>
      </c>
      <c r="S13" s="25">
        <f t="shared" si="6"/>
        <v>0.13295578233963234</v>
      </c>
      <c r="T13" s="24">
        <f t="shared" si="3"/>
        <v>0.75380170611023711</v>
      </c>
      <c r="U13" s="25">
        <f t="shared" si="6"/>
        <v>0.17393314907288079</v>
      </c>
      <c r="V13" s="24">
        <f t="shared" si="4"/>
        <v>0.94364487952017195</v>
      </c>
      <c r="W13" s="25">
        <f t="shared" si="7"/>
        <v>0.45256275935400925</v>
      </c>
      <c r="X13" s="24">
        <f t="shared" si="5"/>
        <v>1.0327932889266163</v>
      </c>
      <c r="Y13" s="25">
        <f t="shared" si="8"/>
        <v>0.5327828647659365</v>
      </c>
      <c r="Z13" s="24">
        <f t="shared" si="0"/>
        <v>0.94364487952017195</v>
      </c>
      <c r="AA13" s="24">
        <f t="shared" si="1"/>
        <v>7.7361155445129795E-2</v>
      </c>
    </row>
    <row r="14" spans="1:35" ht="15" customHeight="1">
      <c r="A14" s="9" t="s">
        <v>14</v>
      </c>
      <c r="B14" s="7" t="s">
        <v>15</v>
      </c>
      <c r="Q14" s="25"/>
      <c r="R14" s="24">
        <f t="shared" si="2"/>
        <v>0.77334379115428331</v>
      </c>
      <c r="S14" s="25">
        <f t="shared" si="6"/>
        <v>0.12495270837680821</v>
      </c>
      <c r="T14" s="24">
        <f t="shared" si="3"/>
        <v>0.80272663502231056</v>
      </c>
      <c r="U14" s="25">
        <f t="shared" si="6"/>
        <v>0.16333219654112974</v>
      </c>
      <c r="V14" s="24">
        <f t="shared" si="4"/>
        <v>1.0126596762068316</v>
      </c>
      <c r="W14" s="25">
        <f t="shared" si="7"/>
        <v>0.42171969572797097</v>
      </c>
      <c r="X14" s="24">
        <f t="shared" si="5"/>
        <v>1.1129269018880072</v>
      </c>
      <c r="Y14" s="25">
        <f t="shared" si="8"/>
        <v>0.4944211216854274</v>
      </c>
      <c r="Z14" s="24">
        <f t="shared" si="0"/>
        <v>1.0126596762068316</v>
      </c>
      <c r="AA14" s="24">
        <f t="shared" si="1"/>
        <v>7.2088836876576232E-2</v>
      </c>
    </row>
    <row r="15" spans="1:35" ht="15" customHeight="1">
      <c r="Q15" s="25"/>
      <c r="R15" s="24">
        <f t="shared" si="2"/>
        <v>0.81989406110409713</v>
      </c>
      <c r="S15" s="25">
        <f t="shared" si="6"/>
        <v>0.11785839878019036</v>
      </c>
      <c r="T15" s="24">
        <f t="shared" si="3"/>
        <v>0.85165156393438401</v>
      </c>
      <c r="U15" s="25">
        <f t="shared" si="6"/>
        <v>0.1539492323768753</v>
      </c>
      <c r="V15" s="24">
        <f t="shared" si="4"/>
        <v>1.0816744728934911</v>
      </c>
      <c r="W15" s="25">
        <f t="shared" si="7"/>
        <v>0.39481243315610876</v>
      </c>
      <c r="X15" s="24">
        <f t="shared" si="5"/>
        <v>1.1930605148493982</v>
      </c>
      <c r="Y15" s="25">
        <f t="shared" si="8"/>
        <v>0.46121262110062838</v>
      </c>
      <c r="Z15" s="24">
        <f t="shared" si="0"/>
        <v>1.0816744728934911</v>
      </c>
      <c r="AA15" s="24">
        <f t="shared" si="1"/>
        <v>6.7489304813010048E-2</v>
      </c>
    </row>
    <row r="16" spans="1:35" ht="15" customHeight="1">
      <c r="A16" s="9" t="s">
        <v>16</v>
      </c>
      <c r="B16" s="8" t="s">
        <v>17</v>
      </c>
      <c r="C16" s="9" t="s">
        <v>20</v>
      </c>
      <c r="D16" s="9" t="s">
        <v>21</v>
      </c>
      <c r="E16" s="9" t="s">
        <v>22</v>
      </c>
      <c r="F16" s="9" t="s">
        <v>23</v>
      </c>
      <c r="G16" s="9" t="s">
        <v>24</v>
      </c>
      <c r="Q16" s="25"/>
      <c r="R16" s="24">
        <f t="shared" si="2"/>
        <v>0.86644433105391094</v>
      </c>
      <c r="S16" s="25">
        <f t="shared" si="6"/>
        <v>0.11152638172792655</v>
      </c>
      <c r="T16" s="24">
        <f t="shared" si="3"/>
        <v>0.90057649284645747</v>
      </c>
      <c r="U16" s="25">
        <f t="shared" si="6"/>
        <v>0.14558575041844599</v>
      </c>
      <c r="V16" s="24">
        <f t="shared" si="4"/>
        <v>1.1506892695801505</v>
      </c>
      <c r="W16" s="25">
        <f t="shared" si="7"/>
        <v>0.37113279997974652</v>
      </c>
      <c r="X16" s="24">
        <f t="shared" si="5"/>
        <v>1.2731941278107892</v>
      </c>
      <c r="Y16" s="25">
        <f t="shared" si="8"/>
        <v>0.43218434264341038</v>
      </c>
      <c r="Z16" s="24">
        <f t="shared" si="0"/>
        <v>1.1506892695801505</v>
      </c>
      <c r="AA16" s="24">
        <f t="shared" si="1"/>
        <v>6.6924999999999998E-2</v>
      </c>
    </row>
    <row r="17" spans="1:27" ht="15" customHeight="1">
      <c r="A17" s="8" t="s">
        <v>4</v>
      </c>
      <c r="B17" s="19">
        <f>MAX($AF$4,MIN($AG$4,$AD$4-$AE$4*D7*C7))*IF($B$12="T1",1,IF($B$12="T4",1+0.4*$E$12,1+0.2*$E$12))</f>
        <v>1.5</v>
      </c>
      <c r="C17" s="19">
        <f>B17*C7</f>
        <v>9.1499999999999998E-2</v>
      </c>
      <c r="D17" s="19">
        <f>E17/3</f>
        <v>0.14916396716852898</v>
      </c>
      <c r="E17" s="19">
        <f>$AD$5*E7^(-$AE$5)*E7</f>
        <v>0.44749190150558693</v>
      </c>
      <c r="F17" s="19">
        <f>4*C7+1.6</f>
        <v>1.8440000000000001</v>
      </c>
      <c r="G17" s="19">
        <f>C17*D7*$AD$6</f>
        <v>0.21593999999999999</v>
      </c>
      <c r="Q17" s="25"/>
      <c r="R17" s="24">
        <f t="shared" si="2"/>
        <v>0.91299460100372465</v>
      </c>
      <c r="S17" s="25">
        <f t="shared" si="6"/>
        <v>0.10584005765738611</v>
      </c>
      <c r="T17" s="24">
        <f t="shared" si="3"/>
        <v>0.94950142175853092</v>
      </c>
      <c r="U17" s="25">
        <f t="shared" si="6"/>
        <v>0.13808415818634426</v>
      </c>
      <c r="V17" s="24">
        <f t="shared" si="4"/>
        <v>1.2197040662668099</v>
      </c>
      <c r="W17" s="25">
        <f t="shared" si="7"/>
        <v>0.3501329071018377</v>
      </c>
      <c r="X17" s="24">
        <f t="shared" si="5"/>
        <v>1.3533277407721802</v>
      </c>
      <c r="Y17" s="25">
        <f t="shared" si="8"/>
        <v>0.40659372494011875</v>
      </c>
      <c r="Z17" s="24">
        <f t="shared" si="0"/>
        <v>1.2197040662668099</v>
      </c>
      <c r="AA17" s="24">
        <f t="shared" si="1"/>
        <v>6.6924999999999998E-2</v>
      </c>
    </row>
    <row r="18" spans="1:27" ht="15" customHeight="1">
      <c r="A18" s="10" t="s">
        <v>5</v>
      </c>
      <c r="B18" s="19">
        <f>MAX($AF$4,MIN($AG$4,$AD$4-$AE$4*D8*C8))*IF($B$12="T1",1,IF($B$12="T4",1+0.4*$E$12,1+0.2*$E$12))</f>
        <v>1.5</v>
      </c>
      <c r="C18" s="19">
        <f>B18*C8</f>
        <v>0.123</v>
      </c>
      <c r="D18" s="19">
        <f t="shared" ref="D18:D20" si="9">E18/3</f>
        <v>0.15341737754593213</v>
      </c>
      <c r="E18" s="19">
        <f>$AD$5*E8^(-$AE$5)*E8</f>
        <v>0.46025213263779635</v>
      </c>
      <c r="F18" s="19">
        <f>4*C8+1.6</f>
        <v>1.9280000000000002</v>
      </c>
      <c r="G18" s="19">
        <f>C18*D8*$AD$6</f>
        <v>0.28486799999999995</v>
      </c>
      <c r="Q18" s="25"/>
      <c r="R18" s="24">
        <f t="shared" si="2"/>
        <v>0.95954487095353846</v>
      </c>
      <c r="S18" s="25">
        <f t="shared" si="6"/>
        <v>0.10070545332089569</v>
      </c>
      <c r="T18" s="24">
        <f t="shared" si="3"/>
        <v>0.99842635067060437</v>
      </c>
      <c r="U18" s="25">
        <f t="shared" si="6"/>
        <v>0.1313177526136019</v>
      </c>
      <c r="V18" s="24">
        <f t="shared" si="4"/>
        <v>1.2887188629534694</v>
      </c>
      <c r="W18" s="25">
        <f t="shared" si="7"/>
        <v>0.33138222990482452</v>
      </c>
      <c r="X18" s="24">
        <f t="shared" si="5"/>
        <v>1.4334613537335712</v>
      </c>
      <c r="Y18" s="25">
        <f t="shared" si="8"/>
        <v>0.38386424981194761</v>
      </c>
      <c r="Z18" s="24">
        <f t="shared" si="0"/>
        <v>1.2887188629534694</v>
      </c>
      <c r="AA18" s="24">
        <f t="shared" si="1"/>
        <v>6.6924999999999998E-2</v>
      </c>
    </row>
    <row r="19" spans="1:27" ht="15" customHeight="1">
      <c r="A19" s="3" t="s">
        <v>6</v>
      </c>
      <c r="B19" s="19">
        <f>MAX($AF$4,MIN($AG$4,$AD$4-$AE$4*D9*C9))*IF($B$12="T1",1,IF($B$12="T4",1+0.4*$E$12,1+0.2*$E$12))</f>
        <v>1.3385</v>
      </c>
      <c r="C19" s="19">
        <f>B19*C9</f>
        <v>0.33462500000000001</v>
      </c>
      <c r="D19" s="19">
        <f t="shared" si="9"/>
        <v>0.17651869980007165</v>
      </c>
      <c r="E19" s="19">
        <f>$AD$5*E9^(-$AE$5)*E9</f>
        <v>0.52955609940021497</v>
      </c>
      <c r="F19" s="19">
        <f>4*C9+1.6</f>
        <v>2.6</v>
      </c>
      <c r="G19" s="19">
        <f>C19*D9*$AD$6</f>
        <v>0.80644625000000003</v>
      </c>
      <c r="Q19" s="25"/>
      <c r="R19" s="24">
        <f t="shared" si="2"/>
        <v>1.0060951409033523</v>
      </c>
      <c r="S19" s="25">
        <f t="shared" si="6"/>
        <v>9.6045987384804452E-2</v>
      </c>
      <c r="T19" s="24">
        <f t="shared" si="3"/>
        <v>1.0473512795826778</v>
      </c>
      <c r="U19" s="25">
        <f t="shared" si="6"/>
        <v>0.12518350535887598</v>
      </c>
      <c r="V19" s="24">
        <f t="shared" si="4"/>
        <v>1.3577336596401288</v>
      </c>
      <c r="W19" s="25">
        <f t="shared" si="7"/>
        <v>0.31453777955178908</v>
      </c>
      <c r="X19" s="24">
        <f t="shared" si="5"/>
        <v>1.5135949666949622</v>
      </c>
      <c r="Y19" s="25">
        <f t="shared" si="8"/>
        <v>0.36354148850459944</v>
      </c>
      <c r="Z19" s="24">
        <f t="shared" si="0"/>
        <v>1.3577336596401288</v>
      </c>
      <c r="AA19" s="24">
        <f t="shared" si="1"/>
        <v>6.6924999999999998E-2</v>
      </c>
    </row>
    <row r="20" spans="1:27" ht="15" customHeight="1">
      <c r="A20" s="3" t="s">
        <v>7</v>
      </c>
      <c r="B20" s="19">
        <f>MAX($AF$4,MIN($AG$4,$AD$4-$AE$4*D10*C10))*IF($B$12="T1",1,IF($B$12="T4",1+0.4*$E$12,1+0.2*$E$12))</f>
        <v>1.2026870000000001</v>
      </c>
      <c r="C20" s="19">
        <f>B20*C10</f>
        <v>0.40771089300000007</v>
      </c>
      <c r="D20" s="19">
        <f t="shared" si="9"/>
        <v>0.18399720371942338</v>
      </c>
      <c r="E20" s="19">
        <f>$AD$5*E10^(-$AE$5)*E10</f>
        <v>0.55199161115827011</v>
      </c>
      <c r="F20" s="19">
        <f>4*C10+1.6</f>
        <v>2.9560000000000004</v>
      </c>
      <c r="G20" s="19">
        <f>C20*D10*$AD$6</f>
        <v>0.99685313338500015</v>
      </c>
      <c r="Q20" s="25"/>
      <c r="R20" s="24">
        <f t="shared" si="2"/>
        <v>1.052645410853166</v>
      </c>
      <c r="S20" s="25">
        <f t="shared" si="6"/>
        <v>9.1798624888125402E-2</v>
      </c>
      <c r="T20" s="24">
        <f t="shared" si="3"/>
        <v>1.0962762084947513</v>
      </c>
      <c r="U20" s="25">
        <f t="shared" si="6"/>
        <v>0.11959677999423764</v>
      </c>
      <c r="V20" s="24">
        <f t="shared" si="4"/>
        <v>1.4267484563267885</v>
      </c>
      <c r="W20" s="25">
        <f t="shared" si="7"/>
        <v>0.29932293154562584</v>
      </c>
      <c r="X20" s="24">
        <f t="shared" si="5"/>
        <v>1.5937285796563534</v>
      </c>
      <c r="Y20" s="25">
        <f t="shared" si="8"/>
        <v>0.34526240804692376</v>
      </c>
      <c r="Z20" s="24">
        <f t="shared" si="0"/>
        <v>1.4267484563267885</v>
      </c>
      <c r="AA20" s="24">
        <f t="shared" si="1"/>
        <v>6.6924999999999998E-2</v>
      </c>
    </row>
    <row r="21" spans="1:27" ht="15" customHeight="1">
      <c r="Q21" s="25"/>
      <c r="R21" s="24">
        <f t="shared" si="2"/>
        <v>1.0991956808029797</v>
      </c>
      <c r="S21" s="25">
        <f t="shared" si="6"/>
        <v>8.7911008839232044E-2</v>
      </c>
      <c r="T21" s="24">
        <f t="shared" si="3"/>
        <v>1.1452011374068247</v>
      </c>
      <c r="U21" s="25">
        <f t="shared" si="6"/>
        <v>0.11448740333698032</v>
      </c>
      <c r="V21" s="24">
        <f t="shared" si="4"/>
        <v>1.4957632530134481</v>
      </c>
      <c r="W21" s="25">
        <f t="shared" si="7"/>
        <v>0.28551211541368909</v>
      </c>
      <c r="X21" s="24">
        <f t="shared" si="5"/>
        <v>1.6738621926177444</v>
      </c>
      <c r="Y21" s="25">
        <f t="shared" si="8"/>
        <v>0.32873349407863495</v>
      </c>
      <c r="Z21" s="24">
        <f t="shared" si="0"/>
        <v>1.4957632530134481</v>
      </c>
      <c r="AA21" s="24">
        <f t="shared" si="1"/>
        <v>6.6924999999999998E-2</v>
      </c>
    </row>
    <row r="22" spans="1:27" ht="15" customHeight="1">
      <c r="A22" s="16"/>
      <c r="G22" s="9" t="s">
        <v>19</v>
      </c>
      <c r="Q22" s="25"/>
      <c r="R22" s="24">
        <f t="shared" si="2"/>
        <v>1.1457459507527936</v>
      </c>
      <c r="S22" s="25">
        <f t="shared" si="6"/>
        <v>8.433929105106272E-2</v>
      </c>
      <c r="T22" s="24">
        <f t="shared" si="3"/>
        <v>1.1941260663188982</v>
      </c>
      <c r="U22" s="25">
        <f t="shared" si="6"/>
        <v>0.10979670255791049</v>
      </c>
      <c r="V22" s="24">
        <f t="shared" si="4"/>
        <v>1.5647780497001076</v>
      </c>
      <c r="W22" s="25">
        <f t="shared" si="7"/>
        <v>0.2729195559765023</v>
      </c>
      <c r="X22" s="24">
        <f t="shared" si="5"/>
        <v>1.7539958055791354</v>
      </c>
      <c r="Y22" s="25">
        <f t="shared" si="8"/>
        <v>0.31371487060293896</v>
      </c>
      <c r="Z22" s="24">
        <f t="shared" si="0"/>
        <v>1.5647780497001076</v>
      </c>
      <c r="AA22" s="24">
        <f t="shared" si="1"/>
        <v>6.6924999999999998E-2</v>
      </c>
    </row>
    <row r="23" spans="1:27" ht="15" customHeight="1">
      <c r="A23" s="9" t="s">
        <v>31</v>
      </c>
      <c r="B23" s="4">
        <v>0.61</v>
      </c>
      <c r="F23" s="8" t="s">
        <v>4</v>
      </c>
      <c r="G23" s="19">
        <f>IF($B$23="","",IF($B$23&lt;D17,G17*($B$23/D17+(1-$B$23/D17)/D7/$AD$6),IF($B$23&lt;=E17,G17,IF($B$23&lt;F17,G17*E17/$B$23,G17*E17*F17/$B$23^2))))</f>
        <v>0.15841213313297778</v>
      </c>
      <c r="I23" s="9">
        <f>IF(B23="",-1,B23)</f>
        <v>0.61</v>
      </c>
      <c r="J23" s="13">
        <f>IF($B$23="","",G23)</f>
        <v>0.15841213313297778</v>
      </c>
      <c r="L23" s="9">
        <f>I23</f>
        <v>0.61</v>
      </c>
      <c r="M23" s="13">
        <f>IF($B$23="","",G25)</f>
        <v>0.70009595168185346</v>
      </c>
      <c r="Q23" s="25"/>
      <c r="R23" s="24">
        <f t="shared" si="2"/>
        <v>1.1922962207026073</v>
      </c>
      <c r="S23" s="25">
        <f t="shared" si="6"/>
        <v>8.104647111451263E-2</v>
      </c>
      <c r="T23" s="24">
        <f t="shared" si="3"/>
        <v>1.2430509952309716</v>
      </c>
      <c r="U23" s="25">
        <f t="shared" si="6"/>
        <v>0.10547524198385921</v>
      </c>
      <c r="V23" s="24">
        <f t="shared" si="4"/>
        <v>1.633792846386767</v>
      </c>
      <c r="W23" s="25">
        <f t="shared" si="7"/>
        <v>0.2613908681693623</v>
      </c>
      <c r="X23" s="24">
        <f t="shared" si="5"/>
        <v>1.8341294185405264</v>
      </c>
      <c r="Y23" s="25">
        <f t="shared" si="8"/>
        <v>0.30000858261311286</v>
      </c>
      <c r="Z23" s="24">
        <f t="shared" si="0"/>
        <v>1.633792846386767</v>
      </c>
      <c r="AA23" s="24">
        <f t="shared" si="1"/>
        <v>6.6924999999999998E-2</v>
      </c>
    </row>
    <row r="24" spans="1:27" ht="15" customHeight="1">
      <c r="A24" s="16"/>
      <c r="F24" s="10" t="s">
        <v>5</v>
      </c>
      <c r="G24" s="19">
        <f>IF($B$23="","",IF($B$23&lt;D18,G18*($B$23/D18+(1-$B$23/D18)/D8/$AD$6),IF($B$23&lt;=E18,G18,IF($B$23&lt;F18,G18*E18/$B$23,G18*E18*F18/$B$23^2))))</f>
        <v>0.21493623691846517</v>
      </c>
      <c r="I24" s="9">
        <f>I23</f>
        <v>0.61</v>
      </c>
      <c r="J24" s="13">
        <f t="shared" ref="J24:J26" si="10">IF($B$23="","",G24)</f>
        <v>0.21493623691846517</v>
      </c>
      <c r="L24" s="9">
        <f>IF($B$29="",-1,I24)</f>
        <v>0.61</v>
      </c>
      <c r="M24" s="13">
        <f>IF($B$23="","",G29)</f>
        <v>0.11967452165501771</v>
      </c>
      <c r="Q24" s="25"/>
      <c r="R24" s="24">
        <f t="shared" si="2"/>
        <v>1.238846490652421</v>
      </c>
      <c r="S24" s="25">
        <f t="shared" si="6"/>
        <v>7.8001109855206405E-2</v>
      </c>
      <c r="T24" s="24">
        <f t="shared" si="3"/>
        <v>1.2919759241430451</v>
      </c>
      <c r="U24" s="25">
        <f t="shared" si="6"/>
        <v>0.10148107412081109</v>
      </c>
      <c r="V24" s="24">
        <f t="shared" si="4"/>
        <v>1.7028076430734265</v>
      </c>
      <c r="W24" s="25">
        <f t="shared" si="7"/>
        <v>0.250796695835312</v>
      </c>
      <c r="X24" s="24">
        <f t="shared" si="5"/>
        <v>1.9142630315019173</v>
      </c>
      <c r="Y24" s="25">
        <f t="shared" si="8"/>
        <v>0.28744982174870204</v>
      </c>
      <c r="Z24" s="24">
        <f t="shared" si="0"/>
        <v>1.7028076430734265</v>
      </c>
      <c r="AA24" s="24">
        <f t="shared" si="1"/>
        <v>6.6924999999999998E-2</v>
      </c>
    </row>
    <row r="25" spans="1:27" ht="15" customHeight="1">
      <c r="A25" s="16"/>
      <c r="C25" s="18" t="s">
        <v>29</v>
      </c>
      <c r="D25" s="17">
        <f>IF(B23="","",G25/G23)</f>
        <v>4.4194591527541869</v>
      </c>
      <c r="F25" s="3" t="s">
        <v>6</v>
      </c>
      <c r="G25" s="19">
        <f>IF($B$23="","",IF($B$23&lt;D19,G19*($B$23/D19+(1-$B$23/D19)/D9/$AD$6),IF($B$23&lt;=E19,G19,IF($B$23&lt;F19,G19*E19/$B$23,G19*E19*F19/$B$23^2))))</f>
        <v>0.70009595168185346</v>
      </c>
      <c r="I25" s="9">
        <f t="shared" ref="I25:I26" si="11">I24</f>
        <v>0.61</v>
      </c>
      <c r="J25" s="13">
        <f t="shared" si="10"/>
        <v>0.70009595168185346</v>
      </c>
      <c r="L25" s="9">
        <f t="shared" ref="L25:L26" si="12">I25</f>
        <v>0.61</v>
      </c>
      <c r="M25" s="13">
        <f>IF($B$23="","",G23)</f>
        <v>0.15841213313297778</v>
      </c>
      <c r="Q25" s="25"/>
      <c r="R25" s="24">
        <f t="shared" si="2"/>
        <v>1.285396760602235</v>
      </c>
      <c r="S25" s="25">
        <f t="shared" si="6"/>
        <v>7.5176322341004367E-2</v>
      </c>
      <c r="T25" s="24">
        <f t="shared" si="3"/>
        <v>1.3409008530551187</v>
      </c>
      <c r="U25" s="25">
        <f t="shared" si="6"/>
        <v>9.7778373562474222E-2</v>
      </c>
      <c r="V25" s="24">
        <f t="shared" si="4"/>
        <v>1.7718224397600859</v>
      </c>
      <c r="W25" s="25">
        <f t="shared" si="7"/>
        <v>0.24102783718201276</v>
      </c>
      <c r="X25" s="24">
        <f t="shared" si="5"/>
        <v>1.9943966444633086</v>
      </c>
      <c r="Y25" s="25">
        <f t="shared" si="8"/>
        <v>0.27590026723767852</v>
      </c>
      <c r="Z25" s="24">
        <f t="shared" si="0"/>
        <v>1.7718224397600859</v>
      </c>
      <c r="AA25" s="24">
        <f t="shared" si="1"/>
        <v>6.6924999999999998E-2</v>
      </c>
    </row>
    <row r="26" spans="1:27" ht="15" customHeight="1">
      <c r="A26" s="16"/>
      <c r="C26" s="18" t="s">
        <v>30</v>
      </c>
      <c r="D26" s="17">
        <f>IF(B23="","",G25/G24*1.5)</f>
        <v>4.8858393660308952</v>
      </c>
      <c r="F26" s="3" t="s">
        <v>7</v>
      </c>
      <c r="G26" s="19">
        <f>IF($B$23="","",IF($B$23&lt;D20,G20*($B$23/D20+(1-$B$23/D20)/D10/$AD$6),IF($B$23&lt;=E20,G20,IF($B$23&lt;F20,G20*E20/$B$23,G20*E20*F20/$B$23^2))))</f>
        <v>0.90205666751697733</v>
      </c>
      <c r="I26" s="9">
        <f t="shared" si="11"/>
        <v>0.61</v>
      </c>
      <c r="J26" s="13">
        <f t="shared" si="10"/>
        <v>0.90205666751697733</v>
      </c>
      <c r="L26" s="9">
        <f t="shared" si="12"/>
        <v>0.61</v>
      </c>
      <c r="M26" s="13">
        <f>IF($B$23="","",G24)</f>
        <v>0.21493623691846517</v>
      </c>
      <c r="Q26" s="25"/>
      <c r="R26" s="24">
        <f t="shared" si="2"/>
        <v>1.3319470305520484</v>
      </c>
      <c r="S26" s="25">
        <f t="shared" si="6"/>
        <v>7.2548982050033836E-2</v>
      </c>
      <c r="T26" s="24">
        <f t="shared" si="3"/>
        <v>1.389825781967192</v>
      </c>
      <c r="U26" s="25">
        <f t="shared" si="6"/>
        <v>9.4336359435415004E-2</v>
      </c>
      <c r="V26" s="24">
        <f t="shared" si="4"/>
        <v>1.8408372364467454</v>
      </c>
      <c r="W26" s="25">
        <f t="shared" si="7"/>
        <v>0.23199146674708482</v>
      </c>
      <c r="X26" s="24">
        <f t="shared" si="5"/>
        <v>2.0745302574246995</v>
      </c>
      <c r="Y26" s="25">
        <f t="shared" si="8"/>
        <v>0.26524297016927412</v>
      </c>
      <c r="Z26" s="24">
        <f t="shared" si="0"/>
        <v>1.8408372364467454</v>
      </c>
      <c r="AA26" s="24">
        <f t="shared" si="1"/>
        <v>6.6924999999999998E-2</v>
      </c>
    </row>
    <row r="27" spans="1:27" ht="15" customHeight="1">
      <c r="A27" s="16"/>
      <c r="Q27" s="25"/>
      <c r="R27" s="24">
        <f t="shared" si="2"/>
        <v>1.3784973005018624</v>
      </c>
      <c r="S27" s="25">
        <f t="shared" si="6"/>
        <v>7.0099086284707512E-2</v>
      </c>
      <c r="T27" s="24">
        <f t="shared" si="3"/>
        <v>1.4387507108792654</v>
      </c>
      <c r="U27" s="25">
        <f t="shared" si="6"/>
        <v>9.1128437698659887E-2</v>
      </c>
      <c r="V27" s="24">
        <f t="shared" si="4"/>
        <v>1.9098520331334048</v>
      </c>
      <c r="W27" s="25">
        <f t="shared" si="7"/>
        <v>0.223608176506363</v>
      </c>
      <c r="X27" s="24">
        <f t="shared" si="5"/>
        <v>2.1546638703860905</v>
      </c>
      <c r="Y27" s="25">
        <f t="shared" si="8"/>
        <v>0.25537837931387275</v>
      </c>
      <c r="Z27" s="24">
        <f t="shared" si="0"/>
        <v>1.9098520331334048</v>
      </c>
      <c r="AA27" s="24">
        <f t="shared" si="1"/>
        <v>6.6924999999999998E-2</v>
      </c>
    </row>
    <row r="28" spans="1:27" ht="15" customHeight="1">
      <c r="A28" s="1"/>
      <c r="F28" s="9" t="s">
        <v>39</v>
      </c>
      <c r="G28" s="9" t="s">
        <v>32</v>
      </c>
      <c r="Q28" s="25"/>
      <c r="R28" s="24">
        <f t="shared" si="2"/>
        <v>1.4250475704516761</v>
      </c>
      <c r="S28" s="25">
        <f t="shared" si="6"/>
        <v>6.7809245961163681E-2</v>
      </c>
      <c r="T28" s="24">
        <f t="shared" si="3"/>
        <v>1.4876756397913391</v>
      </c>
      <c r="U28" s="25">
        <f t="shared" si="6"/>
        <v>8.8131512685556482E-2</v>
      </c>
      <c r="V28" s="24">
        <f t="shared" si="4"/>
        <v>1.9788668298200647</v>
      </c>
      <c r="W28" s="25">
        <f t="shared" si="7"/>
        <v>0.21580963614654272</v>
      </c>
      <c r="X28" s="24">
        <f t="shared" si="5"/>
        <v>2.2347974833474815</v>
      </c>
      <c r="Y28" s="25">
        <f t="shared" si="8"/>
        <v>0.24622122196107682</v>
      </c>
      <c r="Z28" s="24">
        <f t="shared" si="0"/>
        <v>1.9788668298200647</v>
      </c>
      <c r="AA28" s="24">
        <f t="shared" si="1"/>
        <v>6.6924999999999998E-2</v>
      </c>
    </row>
    <row r="29" spans="1:27" ht="15" customHeight="1">
      <c r="A29" s="14" t="s">
        <v>18</v>
      </c>
      <c r="B29" s="4">
        <v>5.85</v>
      </c>
      <c r="F29" s="19">
        <f>IF(OR($B$23="",$B$29=""),"",G19/B29/AD6)</f>
        <v>0.13785405982905985</v>
      </c>
      <c r="G29" s="19">
        <f>IF(OR($B$23="",$B$29=""),"",IF($B$23&lt;D19,G19/B29/AD6*($B$23/D19+(1-$B$23/D19)/D9),IF($B$23&lt;=E19,G19/B29/AD6,IF($B$23&lt;F19,G19/B29/AD6*E19/$B$23,G19/B29/AD6*E19*F19/$B$23^2))))</f>
        <v>0.11967452165501771</v>
      </c>
      <c r="Q29" s="25"/>
      <c r="R29" s="24">
        <f t="shared" si="2"/>
        <v>1.47159784040149</v>
      </c>
      <c r="S29" s="25">
        <f t="shared" si="6"/>
        <v>6.5664272234018023E-2</v>
      </c>
      <c r="T29" s="24">
        <f t="shared" si="3"/>
        <v>1.5366005687034123</v>
      </c>
      <c r="U29" s="25">
        <f t="shared" si="6"/>
        <v>8.5325430167512983E-2</v>
      </c>
      <c r="V29" s="24">
        <f t="shared" si="4"/>
        <v>2.0478816265067241</v>
      </c>
      <c r="W29" s="25">
        <f t="shared" si="7"/>
        <v>0.20853672643882593</v>
      </c>
      <c r="X29" s="24">
        <f t="shared" si="5"/>
        <v>2.3149310963088725</v>
      </c>
      <c r="Y29" s="25">
        <f t="shared" si="8"/>
        <v>0.23769803259489231</v>
      </c>
      <c r="Z29" s="24">
        <f t="shared" si="0"/>
        <v>2.0478816265067241</v>
      </c>
      <c r="AA29" s="24">
        <f t="shared" si="1"/>
        <v>6.6924999999999998E-2</v>
      </c>
    </row>
    <row r="30" spans="1:27" ht="15" customHeight="1">
      <c r="A30" s="1"/>
      <c r="C30" s="11"/>
      <c r="D30" s="12"/>
      <c r="Q30" s="25"/>
      <c r="R30" s="24">
        <f t="shared" si="2"/>
        <v>1.5181481103513037</v>
      </c>
      <c r="S30" s="25">
        <f t="shared" si="6"/>
        <v>6.3650839171914303E-2</v>
      </c>
      <c r="T30" s="24">
        <f t="shared" si="3"/>
        <v>1.585525497615486</v>
      </c>
      <c r="U30" s="25">
        <f t="shared" si="6"/>
        <v>8.2692523530807444E-2</v>
      </c>
      <c r="V30" s="24">
        <f t="shared" si="4"/>
        <v>2.1168964231933836</v>
      </c>
      <c r="W30" s="25">
        <f t="shared" si="7"/>
        <v>0.20173803774570306</v>
      </c>
      <c r="X30" s="24">
        <f t="shared" si="5"/>
        <v>2.3950647092702635</v>
      </c>
      <c r="Y30" s="25">
        <f t="shared" si="8"/>
        <v>0.22974517767956656</v>
      </c>
      <c r="Z30" s="24">
        <f t="shared" si="0"/>
        <v>2.1168964231933836</v>
      </c>
      <c r="AA30" s="24">
        <f t="shared" si="1"/>
        <v>6.6924999999999998E-2</v>
      </c>
    </row>
    <row r="31" spans="1:27" ht="15" customHeight="1">
      <c r="Q31" s="25"/>
      <c r="R31" s="24">
        <f t="shared" si="2"/>
        <v>1.5646983803011174</v>
      </c>
      <c r="S31" s="25">
        <f t="shared" si="6"/>
        <v>6.1757206646127071E-2</v>
      </c>
      <c r="T31" s="24">
        <f t="shared" si="3"/>
        <v>1.6344504265275595</v>
      </c>
      <c r="U31" s="25">
        <f t="shared" si="6"/>
        <v>8.0217241460674563E-2</v>
      </c>
      <c r="V31" s="24">
        <f t="shared" si="4"/>
        <v>2.185911219880043</v>
      </c>
      <c r="W31" s="25">
        <f t="shared" si="7"/>
        <v>0.19536865296357575</v>
      </c>
      <c r="X31" s="24">
        <f t="shared" si="5"/>
        <v>2.4751983222316545</v>
      </c>
      <c r="Y31" s="25">
        <f t="shared" si="8"/>
        <v>0.22230726412631177</v>
      </c>
      <c r="Z31" s="24">
        <f t="shared" si="0"/>
        <v>2.185911219880043</v>
      </c>
      <c r="AA31" s="24">
        <f t="shared" si="1"/>
        <v>6.6924999999999998E-2</v>
      </c>
    </row>
    <row r="32" spans="1:27" ht="15" customHeight="1">
      <c r="Q32" s="25"/>
      <c r="R32" s="24">
        <f t="shared" si="2"/>
        <v>1.6112486502509313</v>
      </c>
      <c r="S32" s="25">
        <f t="shared" si="6"/>
        <v>5.9972991254991795E-2</v>
      </c>
      <c r="T32" s="24">
        <f t="shared" si="3"/>
        <v>1.6833753554396327</v>
      </c>
      <c r="U32" s="25">
        <f t="shared" si="6"/>
        <v>7.7885840550411645E-2</v>
      </c>
      <c r="V32" s="24">
        <f t="shared" si="4"/>
        <v>2.2549260165667024</v>
      </c>
      <c r="W32" s="25">
        <f t="shared" si="7"/>
        <v>0.18938915396264749</v>
      </c>
      <c r="X32" s="24">
        <f t="shared" si="5"/>
        <v>2.5553319351930455</v>
      </c>
      <c r="Y32" s="25">
        <f t="shared" si="8"/>
        <v>0.21533584721696306</v>
      </c>
      <c r="Z32" s="24">
        <f t="shared" si="0"/>
        <v>2.2549260165667024</v>
      </c>
      <c r="AA32" s="24">
        <f t="shared" si="1"/>
        <v>6.6924999999999998E-2</v>
      </c>
    </row>
    <row r="33" spans="17:27" ht="15" customHeight="1">
      <c r="Q33" s="25"/>
      <c r="R33" s="24">
        <f t="shared" si="2"/>
        <v>1.657798920200745</v>
      </c>
      <c r="S33" s="25">
        <f t="shared" si="6"/>
        <v>5.8288975842386972E-2</v>
      </c>
      <c r="T33" s="24">
        <f t="shared" si="3"/>
        <v>1.7323002843517064</v>
      </c>
      <c r="U33" s="25">
        <f t="shared" si="6"/>
        <v>7.5686129999875049E-2</v>
      </c>
      <c r="V33" s="24">
        <f t="shared" si="4"/>
        <v>2.3239408132533619</v>
      </c>
      <c r="W33" s="25">
        <f t="shared" si="7"/>
        <v>0.18376480506320519</v>
      </c>
      <c r="X33" s="24">
        <f t="shared" si="5"/>
        <v>2.6354655481544365</v>
      </c>
      <c r="Y33" s="25">
        <f t="shared" si="8"/>
        <v>0.20878837424783958</v>
      </c>
      <c r="Z33" s="24">
        <f t="shared" si="0"/>
        <v>2.3239408132533619</v>
      </c>
      <c r="AA33" s="24">
        <f t="shared" si="1"/>
        <v>6.6924999999999998E-2</v>
      </c>
    </row>
    <row r="34" spans="17:27" ht="15" customHeight="1">
      <c r="Q34" s="25"/>
      <c r="R34" s="24">
        <f t="shared" si="2"/>
        <v>1.7043491901505587</v>
      </c>
      <c r="S34" s="25">
        <f t="shared" si="6"/>
        <v>5.6696950231531026E-2</v>
      </c>
      <c r="T34" s="24">
        <f t="shared" si="3"/>
        <v>1.7812252132637798</v>
      </c>
      <c r="U34" s="25">
        <f t="shared" si="6"/>
        <v>7.3607258388188809E-2</v>
      </c>
      <c r="V34" s="24">
        <f t="shared" si="4"/>
        <v>2.3929556099400213</v>
      </c>
      <c r="W34" s="25">
        <f t="shared" si="7"/>
        <v>0.17846487780717116</v>
      </c>
      <c r="X34" s="24">
        <f t="shared" si="5"/>
        <v>2.7155991611158274</v>
      </c>
      <c r="Y34" s="25">
        <f t="shared" si="8"/>
        <v>0.20262731520334504</v>
      </c>
      <c r="Z34" s="24">
        <f t="shared" si="0"/>
        <v>2.3929556099400213</v>
      </c>
      <c r="AA34" s="24">
        <f t="shared" si="1"/>
        <v>6.6924999999999998E-2</v>
      </c>
    </row>
    <row r="35" spans="17:27" ht="15" customHeight="1">
      <c r="Q35" s="25"/>
      <c r="R35" s="24">
        <f t="shared" si="2"/>
        <v>1.7508994601003725</v>
      </c>
      <c r="S35" s="25">
        <f t="shared" si="6"/>
        <v>5.5189577364754529E-2</v>
      </c>
      <c r="T35" s="24">
        <f t="shared" si="3"/>
        <v>1.8301501421758533</v>
      </c>
      <c r="U35" s="25">
        <f t="shared" si="6"/>
        <v>7.1639534647352288E-2</v>
      </c>
      <c r="V35" s="24">
        <f t="shared" si="4"/>
        <v>2.4619704066266812</v>
      </c>
      <c r="W35" s="25">
        <f t="shared" si="7"/>
        <v>0.17346208929906415</v>
      </c>
      <c r="X35" s="24">
        <f t="shared" si="5"/>
        <v>2.7957327740772184</v>
      </c>
      <c r="Y35" s="25">
        <f t="shared" si="8"/>
        <v>0.19681944293369652</v>
      </c>
      <c r="Z35" s="24">
        <f t="shared" si="0"/>
        <v>2.4619704066266812</v>
      </c>
      <c r="AA35" s="24">
        <f t="shared" si="1"/>
        <v>6.6924999999999998E-2</v>
      </c>
    </row>
    <row r="36" spans="17:27" ht="15" customHeight="1">
      <c r="Q36" s="25"/>
      <c r="R36" s="24">
        <f t="shared" si="2"/>
        <v>1.7974497300501864</v>
      </c>
      <c r="S36" s="25">
        <f t="shared" si="6"/>
        <v>5.3760280243508339E-2</v>
      </c>
      <c r="T36" s="24">
        <f t="shared" si="3"/>
        <v>1.8790750710879267</v>
      </c>
      <c r="U36" s="25">
        <f t="shared" si="6"/>
        <v>6.9774277003395321E-2</v>
      </c>
      <c r="V36" s="24">
        <f t="shared" si="4"/>
        <v>2.5309852033133406</v>
      </c>
      <c r="W36" s="25">
        <f t="shared" si="7"/>
        <v>0.16873213243872923</v>
      </c>
      <c r="X36" s="24">
        <f t="shared" si="5"/>
        <v>2.8758663870386094</v>
      </c>
      <c r="Y36" s="25">
        <f t="shared" si="8"/>
        <v>0.19133523367612865</v>
      </c>
      <c r="Z36" s="24">
        <f t="shared" si="0"/>
        <v>2.5309852033133406</v>
      </c>
      <c r="AA36" s="24">
        <f t="shared" si="1"/>
        <v>6.6924999999999998E-2</v>
      </c>
    </row>
    <row r="37" spans="17:27" ht="15" customHeight="1">
      <c r="Q37" s="25" t="s">
        <v>38</v>
      </c>
      <c r="R37" s="24">
        <f>MIN(3,F17)</f>
        <v>1.8440000000000001</v>
      </c>
      <c r="S37" s="25">
        <f t="shared" si="6"/>
        <v>5.2403145993013246E-2</v>
      </c>
      <c r="T37" s="24">
        <f>MIN(3,F18)</f>
        <v>1.9280000000000002</v>
      </c>
      <c r="U37" s="25">
        <f t="shared" si="6"/>
        <v>6.800368491714924E-2</v>
      </c>
      <c r="V37" s="24">
        <f>MIN(3,F19)</f>
        <v>2.6</v>
      </c>
      <c r="W37" s="25">
        <f t="shared" si="7"/>
        <v>0.16425328097151176</v>
      </c>
      <c r="X37" s="24">
        <f>MIN(3,F20)</f>
        <v>2.9560000000000004</v>
      </c>
      <c r="Y37" s="25">
        <f t="shared" si="8"/>
        <v>0.18614836508300273</v>
      </c>
      <c r="Z37" s="24">
        <f t="shared" si="0"/>
        <v>2.6</v>
      </c>
      <c r="AA37" s="24">
        <f t="shared" si="1"/>
        <v>6.6924999999999998E-2</v>
      </c>
    </row>
    <row r="38" spans="17:27" ht="15" customHeight="1">
      <c r="Q38" s="25"/>
      <c r="R38" s="24">
        <f t="shared" ref="R38:R51" si="13">R$37+(R$52-R$37)*(ROW(R38)-ROW(R$37))/15</f>
        <v>1.9210666666666667</v>
      </c>
      <c r="S38" s="25">
        <f>S$7*R$7*R$37/R38^2</f>
        <v>4.8283008272591237E-2</v>
      </c>
      <c r="T38" s="24">
        <f t="shared" ref="T38:T51" si="14">T$37+(T$52-T$37)*(ROW(T38)-ROW(T$37))/15</f>
        <v>1.9994666666666667</v>
      </c>
      <c r="U38" s="25">
        <f>U$7*T$7*T$37/T38^2</f>
        <v>6.322927015988207E-2</v>
      </c>
      <c r="V38" s="24">
        <f t="shared" ref="V38:V51" si="15">V$37+(V$52-V$37)*(ROW(V38)-ROW(V$37))/15</f>
        <v>2.6266666666666669</v>
      </c>
      <c r="W38" s="25">
        <f>W$7*V$7*V$37/V38^2</f>
        <v>0.16093511837310248</v>
      </c>
      <c r="X38" s="24">
        <f t="shared" ref="X38:X51" si="16">X$37+(X$52-X$37)*(ROW(X38)-ROW(X$37))/15</f>
        <v>2.9589333333333339</v>
      </c>
      <c r="Y38" s="25">
        <f>Y$7*X$7*X$37/X38^2</f>
        <v>0.18577947231845296</v>
      </c>
      <c r="Z38" s="24">
        <f t="shared" si="0"/>
        <v>2.6266666666666669</v>
      </c>
      <c r="AA38" s="24">
        <f t="shared" si="1"/>
        <v>6.6924999999999998E-2</v>
      </c>
    </row>
    <row r="39" spans="17:27" ht="15" customHeight="1">
      <c r="Q39" s="25"/>
      <c r="R39" s="24">
        <f t="shared" si="13"/>
        <v>1.9981333333333333</v>
      </c>
      <c r="S39" s="25">
        <f t="shared" ref="S39:U52" si="17">S$7*R$7*R$37/R39^2</f>
        <v>4.4630347061514961E-2</v>
      </c>
      <c r="T39" s="24">
        <f t="shared" si="14"/>
        <v>2.0709333333333335</v>
      </c>
      <c r="U39" s="25">
        <f t="shared" si="17"/>
        <v>5.8940561469759234E-2</v>
      </c>
      <c r="V39" s="24">
        <f t="shared" si="15"/>
        <v>2.6533333333333333</v>
      </c>
      <c r="W39" s="25">
        <f t="shared" ref="W39:W52" si="18">W$7*V$7*V$37/V39^2</f>
        <v>0.15771649728395079</v>
      </c>
      <c r="X39" s="24">
        <f t="shared" si="16"/>
        <v>2.9618666666666669</v>
      </c>
      <c r="Y39" s="25">
        <f t="shared" ref="Y39:Y52" si="19">Y$7*X$7*X$37/X39^2</f>
        <v>0.18541167502812134</v>
      </c>
      <c r="Z39" s="24">
        <f t="shared" si="0"/>
        <v>2.6533333333333333</v>
      </c>
      <c r="AA39" s="24">
        <f t="shared" si="1"/>
        <v>6.6924999999999998E-2</v>
      </c>
    </row>
    <row r="40" spans="17:27" ht="15" customHeight="1">
      <c r="Q40" s="25"/>
      <c r="R40" s="24">
        <f t="shared" si="13"/>
        <v>2.0752000000000002</v>
      </c>
      <c r="S40" s="25">
        <f t="shared" si="17"/>
        <v>4.1377026389041026E-2</v>
      </c>
      <c r="T40" s="24">
        <f t="shared" si="14"/>
        <v>2.1424000000000003</v>
      </c>
      <c r="U40" s="25">
        <f t="shared" si="17"/>
        <v>5.5073843516710227E-2</v>
      </c>
      <c r="V40" s="24">
        <f t="shared" si="15"/>
        <v>2.68</v>
      </c>
      <c r="W40" s="25">
        <f t="shared" si="18"/>
        <v>0.15459347563034911</v>
      </c>
      <c r="X40" s="24">
        <f t="shared" si="16"/>
        <v>2.9648000000000003</v>
      </c>
      <c r="Y40" s="25">
        <f t="shared" si="19"/>
        <v>0.18504496887876312</v>
      </c>
      <c r="Z40" s="24">
        <f t="shared" si="0"/>
        <v>2.68</v>
      </c>
      <c r="AA40" s="24">
        <f t="shared" si="1"/>
        <v>6.6924999999999998E-2</v>
      </c>
    </row>
    <row r="41" spans="17:27" ht="15" customHeight="1">
      <c r="Q41" s="25"/>
      <c r="R41" s="24">
        <f t="shared" si="13"/>
        <v>2.1522666666666668</v>
      </c>
      <c r="S41" s="25">
        <f t="shared" si="17"/>
        <v>3.8466886377449251E-2</v>
      </c>
      <c r="T41" s="24">
        <f t="shared" si="14"/>
        <v>2.2138666666666666</v>
      </c>
      <c r="U41" s="25">
        <f t="shared" si="17"/>
        <v>5.1575516154264263E-2</v>
      </c>
      <c r="V41" s="24">
        <f t="shared" si="15"/>
        <v>2.7066666666666666</v>
      </c>
      <c r="W41" s="25">
        <f t="shared" si="18"/>
        <v>0.15156230456797631</v>
      </c>
      <c r="X41" s="24">
        <f t="shared" si="16"/>
        <v>2.9677333333333338</v>
      </c>
      <c r="Y41" s="25">
        <f t="shared" si="19"/>
        <v>0.18467934955853829</v>
      </c>
      <c r="Z41" s="24">
        <f t="shared" si="0"/>
        <v>2.7066666666666666</v>
      </c>
      <c r="AA41" s="24">
        <f t="shared" si="1"/>
        <v>6.6924999999999998E-2</v>
      </c>
    </row>
    <row r="42" spans="17:27" ht="15" customHeight="1">
      <c r="Q42" s="25"/>
      <c r="R42" s="24">
        <f t="shared" si="13"/>
        <v>2.2293333333333334</v>
      </c>
      <c r="S42" s="25">
        <f t="shared" si="17"/>
        <v>3.5853303247632883E-2</v>
      </c>
      <c r="T42" s="24">
        <f t="shared" si="14"/>
        <v>2.2853333333333334</v>
      </c>
      <c r="U42" s="25">
        <f t="shared" si="17"/>
        <v>4.8400226854494334E-2</v>
      </c>
      <c r="V42" s="24">
        <f t="shared" si="15"/>
        <v>2.7333333333333334</v>
      </c>
      <c r="W42" s="25">
        <f t="shared" si="18"/>
        <v>0.14861941722645414</v>
      </c>
      <c r="X42" s="24">
        <f t="shared" si="16"/>
        <v>2.9706666666666668</v>
      </c>
      <c r="Y42" s="25">
        <f t="shared" si="19"/>
        <v>0.18431481277688466</v>
      </c>
      <c r="Z42" s="24">
        <f t="shared" si="0"/>
        <v>2.7333333333333334</v>
      </c>
      <c r="AA42" s="24">
        <f t="shared" si="1"/>
        <v>6.6924999999999998E-2</v>
      </c>
    </row>
    <row r="43" spans="17:27" ht="15" customHeight="1">
      <c r="Q43" s="25"/>
      <c r="R43" s="24">
        <f t="shared" si="13"/>
        <v>2.3064</v>
      </c>
      <c r="S43" s="25">
        <f t="shared" si="17"/>
        <v>3.3497310202478613E-2</v>
      </c>
      <c r="T43" s="24">
        <f t="shared" si="14"/>
        <v>2.3568000000000002</v>
      </c>
      <c r="U43" s="25">
        <f t="shared" si="17"/>
        <v>4.5509393381304129E-2</v>
      </c>
      <c r="V43" s="24">
        <f t="shared" si="15"/>
        <v>2.7600000000000002</v>
      </c>
      <c r="W43" s="25">
        <f t="shared" si="18"/>
        <v>0.14576141821143396</v>
      </c>
      <c r="X43" s="24">
        <f t="shared" si="16"/>
        <v>2.9736000000000002</v>
      </c>
      <c r="Y43" s="25">
        <f t="shared" si="19"/>
        <v>0.18395135426439158</v>
      </c>
      <c r="Z43" s="24">
        <f t="shared" si="0"/>
        <v>2.7600000000000002</v>
      </c>
      <c r="AA43" s="24">
        <f t="shared" si="1"/>
        <v>6.6924999999999998E-2</v>
      </c>
    </row>
    <row r="44" spans="17:27" ht="15" customHeight="1">
      <c r="Q44" s="25"/>
      <c r="R44" s="24">
        <f t="shared" si="13"/>
        <v>2.3834666666666666</v>
      </c>
      <c r="S44" s="25">
        <f t="shared" si="17"/>
        <v>3.1366136538316935E-2</v>
      </c>
      <c r="T44" s="24">
        <f t="shared" si="14"/>
        <v>2.4282666666666666</v>
      </c>
      <c r="U44" s="25">
        <f t="shared" si="17"/>
        <v>4.2870026218110008E-2</v>
      </c>
      <c r="V44" s="24">
        <f t="shared" si="15"/>
        <v>2.7866666666666666</v>
      </c>
      <c r="W44" s="25">
        <f t="shared" si="18"/>
        <v>0.14298507380650022</v>
      </c>
      <c r="X44" s="24">
        <f t="shared" si="16"/>
        <v>2.9765333333333337</v>
      </c>
      <c r="Y44" s="25">
        <f t="shared" si="19"/>
        <v>0.18358896977267558</v>
      </c>
      <c r="Z44" s="24">
        <f t="shared" si="0"/>
        <v>2.7866666666666666</v>
      </c>
      <c r="AA44" s="24">
        <f t="shared" si="1"/>
        <v>6.6924999999999998E-2</v>
      </c>
    </row>
    <row r="45" spans="17:27" ht="15" customHeight="1">
      <c r="Q45" s="25"/>
      <c r="R45" s="24">
        <f t="shared" si="13"/>
        <v>2.4605333333333332</v>
      </c>
      <c r="S45" s="25">
        <f t="shared" si="17"/>
        <v>2.9432061889601749E-2</v>
      </c>
      <c r="T45" s="24">
        <f t="shared" si="14"/>
        <v>2.4997333333333334</v>
      </c>
      <c r="U45" s="25">
        <f t="shared" si="17"/>
        <v>4.0453783202553356E-2</v>
      </c>
      <c r="V45" s="24">
        <f t="shared" si="15"/>
        <v>2.8133333333333335</v>
      </c>
      <c r="W45" s="25">
        <f t="shared" si="18"/>
        <v>0.14028730282207799</v>
      </c>
      <c r="X45" s="24">
        <f t="shared" si="16"/>
        <v>2.9794666666666667</v>
      </c>
      <c r="Y45" s="25">
        <f t="shared" si="19"/>
        <v>0.18322765507425573</v>
      </c>
      <c r="Z45" s="24">
        <f t="shared" si="0"/>
        <v>2.8133333333333335</v>
      </c>
      <c r="AA45" s="24">
        <f t="shared" si="1"/>
        <v>6.6924999999999998E-2</v>
      </c>
    </row>
    <row r="46" spans="17:27" ht="15" customHeight="1">
      <c r="Q46" s="25"/>
      <c r="R46" s="24">
        <f t="shared" si="13"/>
        <v>2.5376000000000003</v>
      </c>
      <c r="S46" s="25">
        <f t="shared" si="17"/>
        <v>2.7671510245258518E-2</v>
      </c>
      <c r="T46" s="24">
        <f t="shared" si="14"/>
        <v>2.5712000000000002</v>
      </c>
      <c r="U46" s="25">
        <f t="shared" si="17"/>
        <v>3.8236205474657441E-2</v>
      </c>
      <c r="V46" s="24">
        <f t="shared" si="15"/>
        <v>2.84</v>
      </c>
      <c r="W46" s="25">
        <f t="shared" si="18"/>
        <v>0.13766516804297504</v>
      </c>
      <c r="X46" s="24">
        <f t="shared" si="16"/>
        <v>2.9824000000000002</v>
      </c>
      <c r="Y46" s="25">
        <f t="shared" si="19"/>
        <v>0.18286740596243051</v>
      </c>
      <c r="Z46" s="24">
        <f t="shared" si="0"/>
        <v>2.84</v>
      </c>
      <c r="AA46" s="24">
        <f t="shared" si="1"/>
        <v>6.6924999999999998E-2</v>
      </c>
    </row>
    <row r="47" spans="17:27" ht="15" customHeight="1">
      <c r="Q47" s="25"/>
      <c r="R47" s="24">
        <f t="shared" si="13"/>
        <v>2.6146666666666665</v>
      </c>
      <c r="S47" s="25">
        <f t="shared" si="17"/>
        <v>2.6064328060158962E-2</v>
      </c>
      <c r="T47" s="24">
        <f t="shared" si="14"/>
        <v>2.6426666666666669</v>
      </c>
      <c r="U47" s="25">
        <f t="shared" si="17"/>
        <v>3.619609605832564E-2</v>
      </c>
      <c r="V47" s="24">
        <f t="shared" si="15"/>
        <v>2.8666666666666667</v>
      </c>
      <c r="W47" s="25">
        <f t="shared" si="18"/>
        <v>0.13511586823021601</v>
      </c>
      <c r="X47" s="24">
        <f t="shared" si="16"/>
        <v>2.9853333333333336</v>
      </c>
      <c r="Y47" s="25">
        <f t="shared" si="19"/>
        <v>0.18250821825115551</v>
      </c>
      <c r="Z47" s="24">
        <f t="shared" si="0"/>
        <v>2.8666666666666667</v>
      </c>
      <c r="AA47" s="24">
        <f t="shared" si="1"/>
        <v>6.6924999999999998E-2</v>
      </c>
    </row>
    <row r="48" spans="17:27" ht="15" customHeight="1">
      <c r="Q48" s="25"/>
      <c r="R48" s="24">
        <f t="shared" si="13"/>
        <v>2.6917333333333335</v>
      </c>
      <c r="S48" s="25">
        <f t="shared" si="17"/>
        <v>2.4593204918503173E-2</v>
      </c>
      <c r="T48" s="24">
        <f t="shared" si="14"/>
        <v>2.7141333333333333</v>
      </c>
      <c r="U48" s="25">
        <f t="shared" si="17"/>
        <v>3.4315011437652192E-2</v>
      </c>
      <c r="V48" s="24">
        <f t="shared" si="15"/>
        <v>2.8933333333333335</v>
      </c>
      <c r="W48" s="25">
        <f t="shared" si="18"/>
        <v>0.1326367306364912</v>
      </c>
      <c r="X48" s="24">
        <f t="shared" si="16"/>
        <v>2.9882666666666666</v>
      </c>
      <c r="Y48" s="25">
        <f t="shared" si="19"/>
        <v>0.18215008777492162</v>
      </c>
      <c r="Z48" s="24">
        <f t="shared" si="0"/>
        <v>2.8933333333333335</v>
      </c>
      <c r="AA48" s="24">
        <f t="shared" si="1"/>
        <v>6.6924999999999998E-2</v>
      </c>
    </row>
    <row r="49" spans="17:27" ht="15" customHeight="1">
      <c r="Q49" s="25"/>
      <c r="R49" s="24">
        <f t="shared" si="13"/>
        <v>2.7688000000000001</v>
      </c>
      <c r="S49" s="25">
        <f t="shared" si="17"/>
        <v>2.324320546247147E-2</v>
      </c>
      <c r="T49" s="24">
        <f t="shared" si="14"/>
        <v>2.7856000000000001</v>
      </c>
      <c r="U49" s="25">
        <f t="shared" si="17"/>
        <v>3.2576843242336194E-2</v>
      </c>
      <c r="V49" s="24">
        <f t="shared" si="15"/>
        <v>2.92</v>
      </c>
      <c r="W49" s="25">
        <f t="shared" si="18"/>
        <v>0.13022520399786777</v>
      </c>
      <c r="X49" s="24">
        <f t="shared" si="16"/>
        <v>2.9912000000000001</v>
      </c>
      <c r="Y49" s="25">
        <f t="shared" si="19"/>
        <v>0.18179301038863427</v>
      </c>
      <c r="Z49" s="24">
        <f t="shared" si="0"/>
        <v>2.92</v>
      </c>
      <c r="AA49" s="24">
        <f t="shared" si="1"/>
        <v>6.6924999999999998E-2</v>
      </c>
    </row>
    <row r="50" spans="17:27" ht="15" customHeight="1">
      <c r="Q50" s="25"/>
      <c r="R50" s="24">
        <f t="shared" si="13"/>
        <v>2.8458666666666668</v>
      </c>
      <c r="S50" s="25">
        <f t="shared" si="17"/>
        <v>2.2001388817770445E-2</v>
      </c>
      <c r="T50" s="24">
        <f t="shared" si="14"/>
        <v>2.8570666666666669</v>
      </c>
      <c r="U50" s="25">
        <f t="shared" si="17"/>
        <v>3.0967472242094153E-2</v>
      </c>
      <c r="V50" s="24">
        <f t="shared" si="15"/>
        <v>2.9466666666666668</v>
      </c>
      <c r="W50" s="25">
        <f t="shared" si="18"/>
        <v>0.12787885196743995</v>
      </c>
      <c r="X50" s="24">
        <f t="shared" si="16"/>
        <v>2.9941333333333335</v>
      </c>
      <c r="Y50" s="25">
        <f t="shared" si="19"/>
        <v>0.18143698196749364</v>
      </c>
      <c r="Z50" s="24">
        <f t="shared" si="0"/>
        <v>2.9466666666666668</v>
      </c>
      <c r="AA50" s="24">
        <f t="shared" si="1"/>
        <v>6.6924999999999998E-2</v>
      </c>
    </row>
    <row r="51" spans="17:27" ht="15" customHeight="1">
      <c r="Q51" s="25"/>
      <c r="R51" s="24">
        <f t="shared" si="13"/>
        <v>2.9229333333333329</v>
      </c>
      <c r="S51" s="25">
        <f t="shared" si="17"/>
        <v>2.0856497310876746E-2</v>
      </c>
      <c r="T51" s="24">
        <f t="shared" si="14"/>
        <v>2.9285333333333332</v>
      </c>
      <c r="U51" s="25">
        <f t="shared" si="17"/>
        <v>2.94744807102078E-2</v>
      </c>
      <c r="V51" s="24">
        <f t="shared" si="15"/>
        <v>2.9733333333333332</v>
      </c>
      <c r="W51" s="25">
        <f t="shared" si="18"/>
        <v>0.12559534695935443</v>
      </c>
      <c r="X51" s="24">
        <f t="shared" si="16"/>
        <v>2.9970666666666665</v>
      </c>
      <c r="Y51" s="25">
        <f t="shared" si="19"/>
        <v>0.18108199840687544</v>
      </c>
      <c r="Z51" s="24">
        <f t="shared" si="0"/>
        <v>2.9733333333333332</v>
      </c>
      <c r="AA51" s="24">
        <f t="shared" si="1"/>
        <v>6.6924999999999998E-2</v>
      </c>
    </row>
    <row r="52" spans="17:27" ht="15" customHeight="1">
      <c r="Q52" s="26">
        <v>3</v>
      </c>
      <c r="R52" s="24">
        <f>$Q$52</f>
        <v>3</v>
      </c>
      <c r="S52" s="25">
        <f t="shared" si="17"/>
        <v>1.9798700425922081E-2</v>
      </c>
      <c r="T52" s="24">
        <f>$Q$52</f>
        <v>3</v>
      </c>
      <c r="U52" s="25">
        <f t="shared" si="17"/>
        <v>2.8086912168340947E-2</v>
      </c>
      <c r="V52" s="24">
        <f>$Q$52</f>
        <v>3</v>
      </c>
      <c r="W52" s="25">
        <f t="shared" si="18"/>
        <v>0.12337246437415773</v>
      </c>
      <c r="X52" s="24">
        <f>$Q$52</f>
        <v>3</v>
      </c>
      <c r="Y52" s="25">
        <f t="shared" si="19"/>
        <v>0.18072805562221256</v>
      </c>
      <c r="Z52" s="24">
        <f t="shared" si="0"/>
        <v>3</v>
      </c>
      <c r="AA52" s="24">
        <f t="shared" si="1"/>
        <v>6.6924999999999998E-2</v>
      </c>
    </row>
    <row r="53" spans="17:27">
      <c r="Q53" s="27"/>
      <c r="R53" s="24"/>
      <c r="S53" s="25"/>
      <c r="T53" s="24"/>
      <c r="U53" s="25"/>
      <c r="V53" s="24"/>
      <c r="W53" s="25"/>
      <c r="X53" s="24"/>
      <c r="Y53" s="25"/>
      <c r="Z53" s="24"/>
      <c r="AA53" s="25"/>
    </row>
  </sheetData>
  <sheetProtection sheet="1" objects="1" scenarios="1" selectLockedCells="1"/>
  <protectedRanges>
    <protectedRange sqref="B12:B13 E12" name="Intervallo5_1"/>
  </protectedRanges>
  <mergeCells count="1">
    <mergeCell ref="B3:E3"/>
  </mergeCells>
  <dataValidations count="2">
    <dataValidation type="list" allowBlank="1" showInputMessage="1" showErrorMessage="1" sqref="B12">
      <formula1>"T1,T2,T3,T4"</formula1>
    </dataValidation>
    <dataValidation type="list" allowBlank="1" showInputMessage="1" showErrorMessage="1" sqref="B14">
      <formula1>"A,B,C,D,E"</formula1>
    </dataValidation>
  </dataValidations>
  <pageMargins left="0.7" right="0.7" top="0.75" bottom="0.75" header="0.3" footer="0.3"/>
  <pageSetup paperSize="9" orientation="portrait" r:id="rId1"/>
  <ignoredErrors>
    <ignoredError sqref="T7:X7 S8:X5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Spettri di risposta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2018-02-16T11:11:39Z</dcterms:modified>
</cp:coreProperties>
</file>